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24615" windowHeight="11745"/>
  </bookViews>
  <sheets>
    <sheet name="final income orig" sheetId="3" r:id="rId1"/>
    <sheet name="final income 12 31 21" sheetId="4" r:id="rId2"/>
    <sheet name="final income 2 28 22" sheetId="1" r:id="rId3"/>
    <sheet name="Sheet1" sheetId="2" r:id="rId4"/>
  </sheets>
  <calcPr calcId="124519"/>
</workbook>
</file>

<file path=xl/calcChain.xml><?xml version="1.0" encoding="utf-8"?>
<calcChain xmlns="http://schemas.openxmlformats.org/spreadsheetml/2006/main">
  <c r="AA63" i="1"/>
  <c r="AB63"/>
  <c r="AA88"/>
  <c r="AA87"/>
  <c r="AA86"/>
  <c r="AA87" i="4"/>
  <c r="F87"/>
  <c r="AA85"/>
  <c r="AA84"/>
  <c r="AA83"/>
  <c r="AA82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D87"/>
  <c r="AA81"/>
  <c r="AA80"/>
  <c r="AA79"/>
  <c r="AA78"/>
  <c r="AA77"/>
  <c r="AA75"/>
  <c r="AA74"/>
  <c r="AA73"/>
  <c r="AA72"/>
  <c r="AA71"/>
  <c r="AA69"/>
  <c r="AA68"/>
  <c r="AA67"/>
  <c r="AA66"/>
  <c r="Z63"/>
  <c r="Y63"/>
  <c r="I63"/>
  <c r="AA62"/>
  <c r="AB62" s="1"/>
  <c r="AR59"/>
  <c r="AQ59"/>
  <c r="AP59"/>
  <c r="AO59"/>
  <c r="AN59"/>
  <c r="AM59"/>
  <c r="AL59"/>
  <c r="AK59"/>
  <c r="AJ59"/>
  <c r="AI59"/>
  <c r="AH59"/>
  <c r="AG59"/>
  <c r="AF59"/>
  <c r="AE59"/>
  <c r="AD59"/>
  <c r="AC59"/>
  <c r="Z59"/>
  <c r="Y59"/>
  <c r="X59"/>
  <c r="X63" s="1"/>
  <c r="V59"/>
  <c r="V63" s="1"/>
  <c r="U59"/>
  <c r="U63" s="1"/>
  <c r="T59"/>
  <c r="T63" s="1"/>
  <c r="S59"/>
  <c r="S63" s="1"/>
  <c r="R59"/>
  <c r="R63" s="1"/>
  <c r="Q59"/>
  <c r="Q63" s="1"/>
  <c r="P59"/>
  <c r="P63" s="1"/>
  <c r="N59"/>
  <c r="N63" s="1"/>
  <c r="M59"/>
  <c r="M63" s="1"/>
  <c r="L59"/>
  <c r="L63" s="1"/>
  <c r="I59"/>
  <c r="H59"/>
  <c r="H63" s="1"/>
  <c r="F59"/>
  <c r="F63" s="1"/>
  <c r="D59"/>
  <c r="D63" s="1"/>
  <c r="AA57"/>
  <c r="AB57" s="1"/>
  <c r="AA56"/>
  <c r="AB56" s="1"/>
  <c r="AA55"/>
  <c r="AB55" s="1"/>
  <c r="O54"/>
  <c r="O59" s="1"/>
  <c r="O63" s="1"/>
  <c r="K54"/>
  <c r="K53"/>
  <c r="AA53" s="1"/>
  <c r="AB53" s="1"/>
  <c r="AA52"/>
  <c r="AB52" s="1"/>
  <c r="K52"/>
  <c r="J51"/>
  <c r="AA51" s="1"/>
  <c r="AB51" s="1"/>
  <c r="AA50"/>
  <c r="AB50" s="1"/>
  <c r="J49"/>
  <c r="AA49" s="1"/>
  <c r="AB49" s="1"/>
  <c r="AB48"/>
  <c r="AA48"/>
  <c r="AA47"/>
  <c r="AB47" s="1"/>
  <c r="W46"/>
  <c r="J46"/>
  <c r="AA46" s="1"/>
  <c r="AB46" s="1"/>
  <c r="W45"/>
  <c r="J45"/>
  <c r="AA45" s="1"/>
  <c r="AB45" s="1"/>
  <c r="W44"/>
  <c r="J44"/>
  <c r="AA44" s="1"/>
  <c r="AB44" s="1"/>
  <c r="J43"/>
  <c r="AA43" s="1"/>
  <c r="AB43" s="1"/>
  <c r="AA42"/>
  <c r="AB42" s="1"/>
  <c r="W42"/>
  <c r="J42"/>
  <c r="G42"/>
  <c r="W41"/>
  <c r="J41"/>
  <c r="G41"/>
  <c r="AA40"/>
  <c r="AB40" s="1"/>
  <c r="K39"/>
  <c r="J39"/>
  <c r="G39"/>
  <c r="AA39" s="1"/>
  <c r="AB39" s="1"/>
  <c r="J38"/>
  <c r="G38"/>
  <c r="AA38" s="1"/>
  <c r="AB38" s="1"/>
  <c r="AA37"/>
  <c r="AB37" s="1"/>
  <c r="G36"/>
  <c r="AA36" s="1"/>
  <c r="AB36" s="1"/>
  <c r="W35"/>
  <c r="G35"/>
  <c r="AA35" s="1"/>
  <c r="AB35" s="1"/>
  <c r="K34"/>
  <c r="G34"/>
  <c r="K33"/>
  <c r="G33"/>
  <c r="AA33" s="1"/>
  <c r="AB33" s="1"/>
  <c r="K32"/>
  <c r="G32"/>
  <c r="W31"/>
  <c r="G31"/>
  <c r="AA31" s="1"/>
  <c r="AB31" s="1"/>
  <c r="AB30"/>
  <c r="AA30"/>
  <c r="W29"/>
  <c r="G29"/>
  <c r="AA29" s="1"/>
  <c r="AB29" s="1"/>
  <c r="W28"/>
  <c r="G28"/>
  <c r="AA28" s="1"/>
  <c r="AB28" s="1"/>
  <c r="AA27"/>
  <c r="AB27" s="1"/>
  <c r="K27"/>
  <c r="G27"/>
  <c r="AA26"/>
  <c r="AB26" s="1"/>
  <c r="K26"/>
  <c r="G26"/>
  <c r="W25"/>
  <c r="G25"/>
  <c r="AA25" s="1"/>
  <c r="AB25" s="1"/>
  <c r="AA24"/>
  <c r="AB24" s="1"/>
  <c r="K23"/>
  <c r="G23"/>
  <c r="AA23" s="1"/>
  <c r="AB23" s="1"/>
  <c r="AB22"/>
  <c r="AA22"/>
  <c r="K21"/>
  <c r="K59" s="1"/>
  <c r="K63" s="1"/>
  <c r="G21"/>
  <c r="AA21" s="1"/>
  <c r="AB21" s="1"/>
  <c r="W20"/>
  <c r="G20"/>
  <c r="AA20" s="1"/>
  <c r="AB20" s="1"/>
  <c r="AA19"/>
  <c r="AB19" s="1"/>
  <c r="G18"/>
  <c r="AA18" s="1"/>
  <c r="AB18" s="1"/>
  <c r="W17"/>
  <c r="G17"/>
  <c r="AA17" s="1"/>
  <c r="AB17" s="1"/>
  <c r="AB16"/>
  <c r="AA16"/>
  <c r="AA15"/>
  <c r="AB15" s="1"/>
  <c r="AA14"/>
  <c r="AB14" s="1"/>
  <c r="AA13"/>
  <c r="AB13" s="1"/>
  <c r="W12"/>
  <c r="G12"/>
  <c r="AA12" s="1"/>
  <c r="AB12" s="1"/>
  <c r="AB11"/>
  <c r="AA11"/>
  <c r="W10"/>
  <c r="G10"/>
  <c r="AA10" s="1"/>
  <c r="AB10" s="1"/>
  <c r="AB9"/>
  <c r="AA9"/>
  <c r="AA8"/>
  <c r="AB8" s="1"/>
  <c r="W7"/>
  <c r="G7"/>
  <c r="AA6"/>
  <c r="AB6" s="1"/>
  <c r="AB5"/>
  <c r="AA5"/>
  <c r="AA4"/>
  <c r="AB4" s="1"/>
  <c r="AA87" i="3"/>
  <c r="AA86"/>
  <c r="AA85"/>
  <c r="AA84"/>
  <c r="AA83"/>
  <c r="AA81"/>
  <c r="AA80"/>
  <c r="AA79"/>
  <c r="AA78"/>
  <c r="AA77"/>
  <c r="AA75"/>
  <c r="AA74"/>
  <c r="AA73"/>
  <c r="AA72"/>
  <c r="Z69"/>
  <c r="Z90" s="1"/>
  <c r="X69"/>
  <c r="X90" s="1"/>
  <c r="V69"/>
  <c r="V90" s="1"/>
  <c r="T69"/>
  <c r="T90" s="1"/>
  <c r="R69"/>
  <c r="R90" s="1"/>
  <c r="N69"/>
  <c r="N90" s="1"/>
  <c r="F69"/>
  <c r="F90" s="1"/>
  <c r="AB65"/>
  <c r="AA65"/>
  <c r="AB64"/>
  <c r="AA64"/>
  <c r="AB63"/>
  <c r="AA63"/>
  <c r="AB62"/>
  <c r="AA62"/>
  <c r="AR59"/>
  <c r="AQ59"/>
  <c r="AP59"/>
  <c r="AO59"/>
  <c r="AN59"/>
  <c r="AM59"/>
  <c r="AL59"/>
  <c r="AK59"/>
  <c r="AJ59"/>
  <c r="AI59"/>
  <c r="AH59"/>
  <c r="AG59"/>
  <c r="AF59"/>
  <c r="AE59"/>
  <c r="AD59"/>
  <c r="AC59"/>
  <c r="Z59"/>
  <c r="Y59"/>
  <c r="Y69" s="1"/>
  <c r="Y90" s="1"/>
  <c r="X59"/>
  <c r="V59"/>
  <c r="U59"/>
  <c r="U69" s="1"/>
  <c r="U90" s="1"/>
  <c r="T59"/>
  <c r="S59"/>
  <c r="S69" s="1"/>
  <c r="S90" s="1"/>
  <c r="R59"/>
  <c r="Q59"/>
  <c r="Q69" s="1"/>
  <c r="Q90" s="1"/>
  <c r="P59"/>
  <c r="P69" s="1"/>
  <c r="P90" s="1"/>
  <c r="O59"/>
  <c r="O69" s="1"/>
  <c r="O90" s="1"/>
  <c r="N59"/>
  <c r="M59"/>
  <c r="M69" s="1"/>
  <c r="M90" s="1"/>
  <c r="L59"/>
  <c r="L69" s="1"/>
  <c r="L90" s="1"/>
  <c r="I59"/>
  <c r="I69" s="1"/>
  <c r="I90" s="1"/>
  <c r="H59"/>
  <c r="H69" s="1"/>
  <c r="H90" s="1"/>
  <c r="F59"/>
  <c r="D59"/>
  <c r="D69" s="1"/>
  <c r="D90" s="1"/>
  <c r="AA57"/>
  <c r="AB57" s="1"/>
  <c r="AA56"/>
  <c r="AB56" s="1"/>
  <c r="AA55"/>
  <c r="AB55" s="1"/>
  <c r="O54"/>
  <c r="K54"/>
  <c r="AA54" s="1"/>
  <c r="AB54" s="1"/>
  <c r="AA53"/>
  <c r="AB53" s="1"/>
  <c r="K53"/>
  <c r="K52"/>
  <c r="AA52" s="1"/>
  <c r="AB52" s="1"/>
  <c r="AA51"/>
  <c r="AB51" s="1"/>
  <c r="J51"/>
  <c r="AB50"/>
  <c r="AA50"/>
  <c r="J49"/>
  <c r="AA49" s="1"/>
  <c r="AB49" s="1"/>
  <c r="AA48"/>
  <c r="AB48" s="1"/>
  <c r="AA47"/>
  <c r="AB47" s="1"/>
  <c r="AA46"/>
  <c r="AB46" s="1"/>
  <c r="W46"/>
  <c r="J46"/>
  <c r="AA45"/>
  <c r="AB45" s="1"/>
  <c r="W45"/>
  <c r="J45"/>
  <c r="AA44"/>
  <c r="AB44" s="1"/>
  <c r="W44"/>
  <c r="J44"/>
  <c r="AA43"/>
  <c r="AB43" s="1"/>
  <c r="J43"/>
  <c r="W42"/>
  <c r="J42"/>
  <c r="G42"/>
  <c r="AA42" s="1"/>
  <c r="AB42" s="1"/>
  <c r="AA41"/>
  <c r="AB41" s="1"/>
  <c r="W41"/>
  <c r="J41"/>
  <c r="G41"/>
  <c r="AB40"/>
  <c r="AA40"/>
  <c r="K39"/>
  <c r="J39"/>
  <c r="G39"/>
  <c r="AA39" s="1"/>
  <c r="AB39" s="1"/>
  <c r="AA38"/>
  <c r="AB38" s="1"/>
  <c r="J38"/>
  <c r="J59" s="1"/>
  <c r="J69" s="1"/>
  <c r="J90" s="1"/>
  <c r="G38"/>
  <c r="AA37"/>
  <c r="AB37" s="1"/>
  <c r="AA36"/>
  <c r="AB36" s="1"/>
  <c r="G36"/>
  <c r="W35"/>
  <c r="AA35" s="1"/>
  <c r="AB35" s="1"/>
  <c r="G35"/>
  <c r="K34"/>
  <c r="G34"/>
  <c r="AA34" s="1"/>
  <c r="AB34" s="1"/>
  <c r="K33"/>
  <c r="G33"/>
  <c r="AA33" s="1"/>
  <c r="AB33" s="1"/>
  <c r="K32"/>
  <c r="G32"/>
  <c r="AA32" s="1"/>
  <c r="AB32" s="1"/>
  <c r="W31"/>
  <c r="G31"/>
  <c r="AA31" s="1"/>
  <c r="AB31" s="1"/>
  <c r="AB30"/>
  <c r="AA30"/>
  <c r="W29"/>
  <c r="AA29" s="1"/>
  <c r="AB29" s="1"/>
  <c r="G29"/>
  <c r="W28"/>
  <c r="AA28" s="1"/>
  <c r="AB28" s="1"/>
  <c r="G28"/>
  <c r="K27"/>
  <c r="AA27" s="1"/>
  <c r="AB27" s="1"/>
  <c r="G27"/>
  <c r="K26"/>
  <c r="G26"/>
  <c r="AA26" s="1"/>
  <c r="AB26" s="1"/>
  <c r="W25"/>
  <c r="G25"/>
  <c r="AA25" s="1"/>
  <c r="AB25" s="1"/>
  <c r="AB24"/>
  <c r="AA24"/>
  <c r="K23"/>
  <c r="G23"/>
  <c r="AA23" s="1"/>
  <c r="AB23" s="1"/>
  <c r="AB22"/>
  <c r="AA22"/>
  <c r="K21"/>
  <c r="K59" s="1"/>
  <c r="K69" s="1"/>
  <c r="K90" s="1"/>
  <c r="G21"/>
  <c r="W20"/>
  <c r="AA20" s="1"/>
  <c r="AB20" s="1"/>
  <c r="G20"/>
  <c r="AB19"/>
  <c r="AA19"/>
  <c r="G18"/>
  <c r="AA18" s="1"/>
  <c r="AB18" s="1"/>
  <c r="AA17"/>
  <c r="AB17" s="1"/>
  <c r="W17"/>
  <c r="G17"/>
  <c r="AA16"/>
  <c r="AB16" s="1"/>
  <c r="AA15"/>
  <c r="AB15" s="1"/>
  <c r="AA14"/>
  <c r="AB14" s="1"/>
  <c r="AA13"/>
  <c r="AB13" s="1"/>
  <c r="AA12"/>
  <c r="AB12" s="1"/>
  <c r="W12"/>
  <c r="G12"/>
  <c r="AA11"/>
  <c r="AB11" s="1"/>
  <c r="W10"/>
  <c r="G10"/>
  <c r="AA10" s="1"/>
  <c r="AB10" s="1"/>
  <c r="AA9"/>
  <c r="AB9" s="1"/>
  <c r="AA8"/>
  <c r="AB8" s="1"/>
  <c r="W7"/>
  <c r="W59" s="1"/>
  <c r="W69" s="1"/>
  <c r="W90" s="1"/>
  <c r="G7"/>
  <c r="G59" s="1"/>
  <c r="AA6"/>
  <c r="AB6" s="1"/>
  <c r="AA5"/>
  <c r="AB5" s="1"/>
  <c r="AA4"/>
  <c r="AB4" s="1"/>
  <c r="M33" i="2"/>
  <c r="A33"/>
  <c r="N31"/>
  <c r="M31"/>
  <c r="K31"/>
  <c r="J31"/>
  <c r="H31"/>
  <c r="G31"/>
  <c r="E31"/>
  <c r="E33" s="1"/>
  <c r="D31"/>
  <c r="B31"/>
  <c r="A31"/>
  <c r="Y66" i="1"/>
  <c r="Y93" s="1"/>
  <c r="Y59"/>
  <c r="G59" i="4" l="1"/>
  <c r="G63" s="1"/>
  <c r="AA32"/>
  <c r="AB32" s="1"/>
  <c r="AA34"/>
  <c r="AB34" s="1"/>
  <c r="AA41"/>
  <c r="AB41" s="1"/>
  <c r="W59"/>
  <c r="W63" s="1"/>
  <c r="AA54"/>
  <c r="AB54" s="1"/>
  <c r="J59"/>
  <c r="J63" s="1"/>
  <c r="E88" s="1"/>
  <c r="AA7"/>
  <c r="AB7" s="1"/>
  <c r="E64"/>
  <c r="G69" i="3"/>
  <c r="G90" s="1"/>
  <c r="E60"/>
  <c r="E91"/>
  <c r="AA7"/>
  <c r="AB7" s="1"/>
  <c r="AB59" s="1"/>
  <c r="AB90" s="1"/>
  <c r="E70"/>
  <c r="AA21"/>
  <c r="AB21" s="1"/>
  <c r="K33" i="2"/>
  <c r="G33"/>
  <c r="AB59" i="4" l="1"/>
  <c r="AB87" s="1"/>
  <c r="E60"/>
  <c r="AA59"/>
  <c r="AA63" s="1"/>
  <c r="D89" s="1"/>
  <c r="AA59" i="3"/>
  <c r="AA69" s="1"/>
  <c r="AA90" s="1"/>
  <c r="D92" s="1"/>
  <c r="X66" i="1"/>
  <c r="X93" s="1"/>
  <c r="X59"/>
  <c r="AA78"/>
  <c r="G26"/>
  <c r="G33"/>
  <c r="AB57" l="1"/>
  <c r="AA57"/>
  <c r="AA84"/>
  <c r="AA83"/>
  <c r="AA82"/>
  <c r="AA81"/>
  <c r="AA80"/>
  <c r="AA77"/>
  <c r="AA76"/>
  <c r="AA75"/>
  <c r="AA74"/>
  <c r="AA72"/>
  <c r="AA71"/>
  <c r="AA70"/>
  <c r="AA69"/>
  <c r="J45" l="1"/>
  <c r="W45"/>
  <c r="K54" l="1"/>
  <c r="AA62"/>
  <c r="AB62" s="1"/>
  <c r="AR59"/>
  <c r="AQ59"/>
  <c r="AP59"/>
  <c r="AO59"/>
  <c r="AN59"/>
  <c r="AM59"/>
  <c r="AL59"/>
  <c r="AK59"/>
  <c r="AJ59"/>
  <c r="AI59"/>
  <c r="AH59"/>
  <c r="AG59"/>
  <c r="AF59"/>
  <c r="AE59"/>
  <c r="AD59"/>
  <c r="AC59"/>
  <c r="Z59"/>
  <c r="V59"/>
  <c r="V66" s="1"/>
  <c r="V93" s="1"/>
  <c r="U59"/>
  <c r="U66" s="1"/>
  <c r="U93" s="1"/>
  <c r="T59"/>
  <c r="T66" s="1"/>
  <c r="T93" s="1"/>
  <c r="S59"/>
  <c r="S66" s="1"/>
  <c r="S93" s="1"/>
  <c r="R59"/>
  <c r="R66" s="1"/>
  <c r="R93" s="1"/>
  <c r="Q59"/>
  <c r="Q66" s="1"/>
  <c r="Q93" s="1"/>
  <c r="P59"/>
  <c r="P66" s="1"/>
  <c r="P93" s="1"/>
  <c r="N59"/>
  <c r="N66" s="1"/>
  <c r="N93" s="1"/>
  <c r="M59"/>
  <c r="M66" s="1"/>
  <c r="M93" s="1"/>
  <c r="L59"/>
  <c r="L66" s="1"/>
  <c r="L93" s="1"/>
  <c r="I59"/>
  <c r="I66" s="1"/>
  <c r="I93" s="1"/>
  <c r="H59"/>
  <c r="H66" s="1"/>
  <c r="H93" s="1"/>
  <c r="F59"/>
  <c r="F66" s="1"/>
  <c r="F93" s="1"/>
  <c r="D59"/>
  <c r="D66" s="1"/>
  <c r="D93" s="1"/>
  <c r="AA56"/>
  <c r="AB56" s="1"/>
  <c r="AA55"/>
  <c r="AB55" s="1"/>
  <c r="O54"/>
  <c r="O59" s="1"/>
  <c r="O66" s="1"/>
  <c r="O93" s="1"/>
  <c r="K53"/>
  <c r="AA53" s="1"/>
  <c r="AB53" s="1"/>
  <c r="K52"/>
  <c r="AA52" s="1"/>
  <c r="AB52" s="1"/>
  <c r="J51"/>
  <c r="AA51" s="1"/>
  <c r="AB51" s="1"/>
  <c r="AA50"/>
  <c r="AB50" s="1"/>
  <c r="J49"/>
  <c r="AA49" s="1"/>
  <c r="AB49" s="1"/>
  <c r="AA48"/>
  <c r="AB48" s="1"/>
  <c r="AA47"/>
  <c r="AB47" s="1"/>
  <c r="W46"/>
  <c r="J46"/>
  <c r="AA45"/>
  <c r="AB45" s="1"/>
  <c r="W44"/>
  <c r="J44"/>
  <c r="J43"/>
  <c r="AA43" s="1"/>
  <c r="AB43" s="1"/>
  <c r="W42"/>
  <c r="J42"/>
  <c r="G42"/>
  <c r="W41"/>
  <c r="J41"/>
  <c r="G41"/>
  <c r="AA40"/>
  <c r="AB40" s="1"/>
  <c r="K39"/>
  <c r="J39"/>
  <c r="G39"/>
  <c r="J38"/>
  <c r="G38"/>
  <c r="AA37"/>
  <c r="AB37" s="1"/>
  <c r="G36"/>
  <c r="AA36" s="1"/>
  <c r="AB36" s="1"/>
  <c r="W35"/>
  <c r="G35"/>
  <c r="K34"/>
  <c r="G34"/>
  <c r="K33"/>
  <c r="K32"/>
  <c r="G32"/>
  <c r="W31"/>
  <c r="G31"/>
  <c r="AA30"/>
  <c r="AB30" s="1"/>
  <c r="W29"/>
  <c r="G29"/>
  <c r="W28"/>
  <c r="G28"/>
  <c r="K27"/>
  <c r="G27"/>
  <c r="K26"/>
  <c r="W25"/>
  <c r="G25"/>
  <c r="AA24"/>
  <c r="AB24" s="1"/>
  <c r="K23"/>
  <c r="G23"/>
  <c r="AA22"/>
  <c r="AB22" s="1"/>
  <c r="K21"/>
  <c r="G21"/>
  <c r="W20"/>
  <c r="G20"/>
  <c r="AA19"/>
  <c r="AB19" s="1"/>
  <c r="G18"/>
  <c r="AA18" s="1"/>
  <c r="AB18" s="1"/>
  <c r="W17"/>
  <c r="G17"/>
  <c r="AA16"/>
  <c r="AB16" s="1"/>
  <c r="AA15"/>
  <c r="AB15" s="1"/>
  <c r="AA14"/>
  <c r="AB14" s="1"/>
  <c r="AA13"/>
  <c r="AB13" s="1"/>
  <c r="W12"/>
  <c r="G12"/>
  <c r="AA11"/>
  <c r="AB11" s="1"/>
  <c r="W10"/>
  <c r="G10"/>
  <c r="AB9"/>
  <c r="AA9"/>
  <c r="AA8"/>
  <c r="AB8" s="1"/>
  <c r="W7"/>
  <c r="G7"/>
  <c r="AA6"/>
  <c r="AB6" s="1"/>
  <c r="AA5"/>
  <c r="AB5" s="1"/>
  <c r="AB4"/>
  <c r="AA4"/>
  <c r="Z66" l="1"/>
  <c r="Z93" s="1"/>
  <c r="AA28"/>
  <c r="AB28" s="1"/>
  <c r="AA39"/>
  <c r="AB39" s="1"/>
  <c r="AA31"/>
  <c r="AB31" s="1"/>
  <c r="AA46"/>
  <c r="AB46" s="1"/>
  <c r="AA26"/>
  <c r="AB26" s="1"/>
  <c r="AA34"/>
  <c r="AB34" s="1"/>
  <c r="AA12"/>
  <c r="AB12" s="1"/>
  <c r="AA32"/>
  <c r="AB32" s="1"/>
  <c r="AA17"/>
  <c r="AB17" s="1"/>
  <c r="K59"/>
  <c r="K66" s="1"/>
  <c r="K93" s="1"/>
  <c r="AA33"/>
  <c r="AB33" s="1"/>
  <c r="AA44"/>
  <c r="AB44" s="1"/>
  <c r="G59"/>
  <c r="G66" s="1"/>
  <c r="G93" s="1"/>
  <c r="AA23"/>
  <c r="AB23" s="1"/>
  <c r="AA35"/>
  <c r="AB35" s="1"/>
  <c r="AA21"/>
  <c r="AB21" s="1"/>
  <c r="AA25"/>
  <c r="AB25" s="1"/>
  <c r="AA29"/>
  <c r="AB29" s="1"/>
  <c r="W59"/>
  <c r="W66" s="1"/>
  <c r="W93" s="1"/>
  <c r="AA10"/>
  <c r="AB10" s="1"/>
  <c r="AA20"/>
  <c r="AB20" s="1"/>
  <c r="J59"/>
  <c r="J66" s="1"/>
  <c r="J93" s="1"/>
  <c r="AA42"/>
  <c r="AB42" s="1"/>
  <c r="AA54"/>
  <c r="AB54" s="1"/>
  <c r="AA27"/>
  <c r="AB27" s="1"/>
  <c r="AA41"/>
  <c r="AB41" s="1"/>
  <c r="AA38"/>
  <c r="AB38" s="1"/>
  <c r="AA7"/>
  <c r="AB7" s="1"/>
  <c r="E60" l="1"/>
  <c r="E94"/>
  <c r="E67"/>
  <c r="AB59"/>
  <c r="AB93" s="1"/>
  <c r="AA59"/>
  <c r="AA66" l="1"/>
  <c r="AA93" l="1"/>
  <c r="D95" s="1"/>
</calcChain>
</file>

<file path=xl/comments1.xml><?xml version="1.0" encoding="utf-8"?>
<comments xmlns="http://schemas.openxmlformats.org/spreadsheetml/2006/main">
  <authors>
    <author>Louise M. Pomes</author>
  </authors>
  <commentList>
    <comment ref="G7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paypal deducted 72.52 on hold
</t>
        </r>
      </text>
    </comment>
    <comment ref="G10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72.52 on hold added back
</t>
        </r>
      </text>
    </comment>
    <comment ref="U1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refund from poker chips
</t>
        </r>
      </text>
    </comment>
    <comment ref="K21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neufeld and owens
</t>
        </r>
      </text>
    </comment>
    <comment ref="G26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330.56
</t>
        </r>
      </text>
    </comment>
    <comment ref="K29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pymnt on $160 scissor fobs from Steph
</t>
        </r>
      </text>
    </comment>
    <comment ref="K31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J Bonino
</t>
        </r>
      </text>
    </comment>
    <comment ref="G33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294.44
</t>
        </r>
      </text>
    </comment>
    <comment ref="N33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laura breen left from merch sale
</t>
        </r>
      </text>
    </comment>
    <comment ref="M45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Steph repay venmo error
</t>
        </r>
      </text>
    </comment>
    <comment ref="J4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orig pd to venmo, trsfrd to steph in error, repaid thr pp + fees
</t>
        </r>
      </text>
    </comment>
    <comment ref="I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Bendig and Tryon
</t>
        </r>
      </text>
    </comment>
    <comment ref="J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geddes</t>
        </r>
      </text>
    </comment>
    <comment ref="V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Horsley and Geddes</t>
        </r>
      </text>
    </comment>
  </commentList>
</comments>
</file>

<file path=xl/comments2.xml><?xml version="1.0" encoding="utf-8"?>
<comments xmlns="http://schemas.openxmlformats.org/spreadsheetml/2006/main">
  <authors>
    <author>Louise M. Pomes</author>
  </authors>
  <commentList>
    <comment ref="G7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paypal deducted 72.52 on hold
</t>
        </r>
      </text>
    </comment>
    <comment ref="G10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72.52 on hold added back
</t>
        </r>
      </text>
    </comment>
    <comment ref="U1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refund from poker chips
</t>
        </r>
      </text>
    </comment>
    <comment ref="K21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neufeld and owens
</t>
        </r>
      </text>
    </comment>
    <comment ref="G26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330.56
</t>
        </r>
      </text>
    </comment>
    <comment ref="K29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pymnt on $160 scissor fobs from Steph
</t>
        </r>
      </text>
    </comment>
    <comment ref="K31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J Bonino
</t>
        </r>
      </text>
    </comment>
    <comment ref="G33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294.44
</t>
        </r>
      </text>
    </comment>
    <comment ref="N33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laura breen left from merch sale
</t>
        </r>
      </text>
    </comment>
    <comment ref="M45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Steph repay venmo error
</t>
        </r>
      </text>
    </comment>
    <comment ref="J4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orig pd to venmo, trsfrd to steph in error, repaid thr pp + fees
</t>
        </r>
      </text>
    </comment>
    <comment ref="I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Bendig and Tryon
</t>
        </r>
      </text>
    </comment>
    <comment ref="J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geddes</t>
        </r>
      </text>
    </comment>
    <comment ref="V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Horsley and Geddes</t>
        </r>
      </text>
    </comment>
  </commentList>
</comments>
</file>

<file path=xl/comments3.xml><?xml version="1.0" encoding="utf-8"?>
<comments xmlns="http://schemas.openxmlformats.org/spreadsheetml/2006/main">
  <authors>
    <author>Louise M. Pomes</author>
  </authors>
  <commentList>
    <comment ref="G7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paypal deducted 72.52 on hold
</t>
        </r>
      </text>
    </comment>
    <comment ref="G10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72.52 on hold added back
</t>
        </r>
      </text>
    </comment>
    <comment ref="U1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refund from poker chips
</t>
        </r>
      </text>
    </comment>
    <comment ref="K21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neufeld and owens
</t>
        </r>
      </text>
    </comment>
    <comment ref="G26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330.56
</t>
        </r>
      </text>
    </comment>
    <comment ref="K29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pymnt on $160 scissor fobs from Steph
</t>
        </r>
      </text>
    </comment>
    <comment ref="K31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J Bonino
</t>
        </r>
      </text>
    </comment>
    <comment ref="G33" authorId="0">
      <text>
        <r>
          <rPr>
            <b/>
            <sz val="9"/>
            <color indexed="81"/>
            <rFont val="Tahoma"/>
            <charset val="1"/>
          </rPr>
          <t>Louise M. Pomes:</t>
        </r>
        <r>
          <rPr>
            <sz val="9"/>
            <color indexed="81"/>
            <rFont val="Tahoma"/>
            <charset val="1"/>
          </rPr>
          <t xml:space="preserve">
Demas 294.44
</t>
        </r>
      </text>
    </comment>
    <comment ref="N33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laura breen left from merch sale
</t>
        </r>
      </text>
    </comment>
    <comment ref="M45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Steph repay venmo error
</t>
        </r>
      </text>
    </comment>
    <comment ref="J46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orig pd to venmo, trsfrd to steph in error, repaid thr pp + fees
</t>
        </r>
      </text>
    </comment>
    <comment ref="I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Bendig and Tryon
</t>
        </r>
      </text>
    </comment>
    <comment ref="J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geddes</t>
        </r>
      </text>
    </comment>
    <comment ref="V52" authorId="0">
      <text>
        <r>
          <rPr>
            <b/>
            <sz val="9"/>
            <color indexed="81"/>
            <rFont val="Tahoma"/>
            <family val="2"/>
          </rPr>
          <t>Louise M. Pomes:</t>
        </r>
        <r>
          <rPr>
            <sz val="9"/>
            <color indexed="81"/>
            <rFont val="Tahoma"/>
            <family val="2"/>
          </rPr>
          <t xml:space="preserve">
Horsley and Geddes</t>
        </r>
      </text>
    </comment>
  </commentList>
</comments>
</file>

<file path=xl/sharedStrings.xml><?xml version="1.0" encoding="utf-8"?>
<sst xmlns="http://schemas.openxmlformats.org/spreadsheetml/2006/main" count="537" uniqueCount="85">
  <si>
    <t>Miscellaneous Revenue</t>
  </si>
  <si>
    <t>Date</t>
  </si>
  <si>
    <t>Received by</t>
  </si>
  <si>
    <t>Category</t>
  </si>
  <si>
    <t>Amount</t>
  </si>
  <si>
    <t>Description</t>
  </si>
  <si>
    <t>Seminar Deposits</t>
  </si>
  <si>
    <t>xtra meals</t>
  </si>
  <si>
    <t>merch night</t>
  </si>
  <si>
    <t>Kit fees</t>
  </si>
  <si>
    <t>Merch sales</t>
  </si>
  <si>
    <t>Bank Fee</t>
  </si>
  <si>
    <t xml:space="preserve">Cancel out </t>
  </si>
  <si>
    <t>Donations</t>
  </si>
  <si>
    <t>Silent Auction</t>
  </si>
  <si>
    <t>Books&amp;Tickets</t>
  </si>
  <si>
    <t>Non EGA</t>
  </si>
  <si>
    <t>facility fees</t>
  </si>
  <si>
    <t>Bolt sales owed to PSR</t>
  </si>
  <si>
    <t>Misc/Seminar Supplies</t>
  </si>
  <si>
    <t>Misc/ COGS</t>
  </si>
  <si>
    <t>admin lodging</t>
  </si>
  <si>
    <t>paypal</t>
  </si>
  <si>
    <t>Loans</t>
  </si>
  <si>
    <t>total</t>
  </si>
  <si>
    <t>BANK TRANSACTIONS</t>
  </si>
  <si>
    <t>PSR Seed</t>
  </si>
  <si>
    <t xml:space="preserve">PSR Seminar </t>
  </si>
  <si>
    <t>PayPal</t>
  </si>
  <si>
    <t>Verification</t>
  </si>
  <si>
    <t>Cancels out in Items Paid</t>
  </si>
  <si>
    <t>SH</t>
  </si>
  <si>
    <t>Deposit</t>
  </si>
  <si>
    <t>Refund/Exp</t>
  </si>
  <si>
    <t>Refund of Fundraising Material Return</t>
  </si>
  <si>
    <t xml:space="preserve">Venmo </t>
  </si>
  <si>
    <t>stubbs short 56.25</t>
  </si>
  <si>
    <t>Refund</t>
  </si>
  <si>
    <t>Seminar Supplies</t>
  </si>
  <si>
    <t>RP</t>
  </si>
  <si>
    <t>Deposits</t>
  </si>
  <si>
    <t>Seminar Store Cash &amp; Checks</t>
  </si>
  <si>
    <t>Backup not specific to depost slip</t>
  </si>
  <si>
    <t xml:space="preserve">Bank </t>
  </si>
  <si>
    <t>NSF</t>
  </si>
  <si>
    <t>Bounced Check *</t>
  </si>
  <si>
    <t>OTHER TRANSACTIONS:</t>
  </si>
  <si>
    <t>still in paypal</t>
  </si>
  <si>
    <t>K Hoy for merch night for silver meadows</t>
  </si>
  <si>
    <t>PSR</t>
  </si>
  <si>
    <t>initial contract deposit</t>
  </si>
  <si>
    <t>final contract payment</t>
  </si>
  <si>
    <t>J Douglas payment</t>
  </si>
  <si>
    <t>Total</t>
  </si>
  <si>
    <t>*Bounced Checks from 2020 replaced by Meyreles, Fees paid by Ruth Plummer since I didn't follow up in a timely fashion.</t>
  </si>
  <si>
    <t>RECLASSES WITHIN INCOME:</t>
  </si>
  <si>
    <t>Staples refund</t>
  </si>
  <si>
    <t>RECLASSES FROM EXPENSE:</t>
  </si>
  <si>
    <t>RECLASSES TO EXPENSE:</t>
  </si>
  <si>
    <t>Reclass paypal net fees</t>
  </si>
  <si>
    <t>Reclass Staples refund</t>
  </si>
  <si>
    <t>Reclass merch cogs refunds</t>
  </si>
  <si>
    <t>Reclass Merchandise night Neufeld, Henderson, Farley, Finnegan</t>
  </si>
  <si>
    <t>Reclass nonega Aman, Finnegan, Peek, Rhodes, Romani, Stubbs</t>
  </si>
  <si>
    <t>Reclass xtra meals Bangs, Spark/Dolph, Evans</t>
  </si>
  <si>
    <t>Reclass Lodging repayments Geddes, Horsley</t>
  </si>
  <si>
    <t>Reclass Merch night fees netted in teacher payments Cucci, Douglas, Bay</t>
  </si>
  <si>
    <t>Reclass refunds</t>
  </si>
  <si>
    <t>Reclass cancel outs</t>
  </si>
  <si>
    <t>subtotal</t>
  </si>
  <si>
    <t>transfer error</t>
  </si>
  <si>
    <t>Reclass facility fees Carlson, Dickman, Jocson, Zanella : $500 NOT MADE stays in Registration per National</t>
  </si>
  <si>
    <t>Registration (includes facility fee)</t>
  </si>
  <si>
    <t>PSR Seminar Contribution/Subsidy</t>
  </si>
  <si>
    <t>Payments due</t>
  </si>
  <si>
    <t>Region Subsidy</t>
  </si>
  <si>
    <t>dr</t>
  </si>
  <si>
    <t>cr</t>
  </si>
  <si>
    <t>Cash and paypal</t>
  </si>
  <si>
    <t>Income</t>
  </si>
  <si>
    <t>expense</t>
  </si>
  <si>
    <t>payables</t>
  </si>
  <si>
    <t>receivables</t>
  </si>
  <si>
    <t>DEDUCT PAYABLE TO PSR</t>
  </si>
  <si>
    <t>Refunds paid after 12/31/21: $75 non ega (Rhodes), $500 registration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</si>
</sst>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&quot;$&quot;#,##0.00"/>
  </numFmts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32">
    <xf numFmtId="0" fontId="0" fillId="0" borderId="0" xfId="0"/>
    <xf numFmtId="164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165" fontId="0" fillId="0" borderId="0" xfId="0" applyNumberFormat="1"/>
    <xf numFmtId="49" fontId="0" fillId="0" borderId="0" xfId="0" applyNumberFormat="1"/>
    <xf numFmtId="44" fontId="0" fillId="0" borderId="0" xfId="0" applyNumberFormat="1"/>
    <xf numFmtId="43" fontId="2" fillId="0" borderId="0" xfId="0" applyNumberFormat="1" applyFont="1" applyBorder="1" applyAlignment="1">
      <alignment horizontal="center"/>
    </xf>
    <xf numFmtId="43" fontId="0" fillId="0" borderId="0" xfId="0" applyNumberFormat="1"/>
    <xf numFmtId="164" fontId="2" fillId="0" borderId="0" xfId="0" applyNumberFormat="1" applyFont="1" applyAlignment="1">
      <alignment horizontal="center" shrinkToFit="1"/>
    </xf>
    <xf numFmtId="49" fontId="2" fillId="0" borderId="0" xfId="0" applyNumberFormat="1" applyFont="1" applyAlignment="1">
      <alignment horizontal="center" shrinkToFit="1"/>
    </xf>
    <xf numFmtId="165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4" fontId="2" fillId="0" borderId="0" xfId="0" applyNumberFormat="1" applyFont="1" applyAlignment="1">
      <alignment horizontal="center"/>
    </xf>
    <xf numFmtId="44" fontId="2" fillId="0" borderId="0" xfId="0" applyNumberFormat="1" applyFont="1" applyAlignment="1">
      <alignment horizontal="center" wrapText="1"/>
    </xf>
    <xf numFmtId="43" fontId="2" fillId="0" borderId="0" xfId="0" applyNumberFormat="1" applyFont="1" applyAlignment="1">
      <alignment horizontal="center" wrapText="1"/>
    </xf>
    <xf numFmtId="49" fontId="2" fillId="0" borderId="0" xfId="0" applyNumberFormat="1" applyFont="1" applyAlignment="1"/>
    <xf numFmtId="0" fontId="0" fillId="0" borderId="0" xfId="0" applyFill="1"/>
    <xf numFmtId="44" fontId="0" fillId="0" borderId="0" xfId="0" applyNumberFormat="1" applyFill="1"/>
    <xf numFmtId="49" fontId="0" fillId="0" borderId="0" xfId="0" applyNumberFormat="1" applyFill="1"/>
    <xf numFmtId="165" fontId="0" fillId="0" borderId="0" xfId="0" applyNumberFormat="1" applyFill="1"/>
    <xf numFmtId="164" fontId="0" fillId="0" borderId="0" xfId="0" applyNumberFormat="1" applyAlignment="1"/>
    <xf numFmtId="44" fontId="3" fillId="0" borderId="0" xfId="0" applyNumberFormat="1" applyFont="1" applyFill="1"/>
    <xf numFmtId="49" fontId="0" fillId="0" borderId="0" xfId="0" applyNumberFormat="1" applyFill="1" applyAlignment="1">
      <alignment shrinkToFit="1"/>
    </xf>
    <xf numFmtId="43" fontId="0" fillId="0" borderId="0" xfId="0" applyNumberFormat="1" applyFill="1"/>
    <xf numFmtId="44" fontId="1" fillId="0" borderId="0" xfId="0" applyNumberFormat="1" applyFont="1" applyFill="1"/>
    <xf numFmtId="49" fontId="0" fillId="0" borderId="0" xfId="0" applyNumberFormat="1" applyAlignment="1"/>
    <xf numFmtId="49" fontId="0" fillId="0" borderId="0" xfId="0" applyNumberFormat="1" applyFill="1" applyAlignment="1"/>
    <xf numFmtId="2" fontId="0" fillId="0" borderId="0" xfId="0" applyNumberFormat="1"/>
    <xf numFmtId="164" fontId="0" fillId="0" borderId="0" xfId="0" applyNumberFormat="1" applyFill="1" applyAlignment="1">
      <alignment shrinkToFit="1"/>
    </xf>
    <xf numFmtId="165" fontId="0" fillId="0" borderId="0" xfId="1" applyNumberFormat="1" applyFont="1" applyAlignment="1">
      <alignment shrinkToFit="1"/>
    </xf>
    <xf numFmtId="43" fontId="2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111"/>
  <sheetViews>
    <sheetView tabSelected="1" workbookViewId="0">
      <pane xSplit="5" ySplit="2" topLeftCell="F59" activePane="bottomRight" state="frozen"/>
      <selection pane="topRight" activeCell="F1" sqref="F1"/>
      <selection pane="bottomLeft" activeCell="A2" sqref="A2"/>
      <selection pane="bottomRight" activeCell="A66" sqref="A66:XFD67"/>
    </sheetView>
  </sheetViews>
  <sheetFormatPr defaultColWidth="9.140625" defaultRowHeight="15"/>
  <cols>
    <col min="1" max="1" width="9.140625" style="1"/>
    <col min="2" max="2" width="11.7109375" style="2" bestFit="1" customWidth="1"/>
    <col min="3" max="3" width="57.28515625" style="2" customWidth="1"/>
    <col min="4" max="4" width="11.42578125" style="3" customWidth="1"/>
    <col min="5" max="5" width="42" style="4" customWidth="1"/>
    <col min="6" max="6" width="18" style="5" customWidth="1"/>
    <col min="7" max="7" width="14.28515625" style="5" customWidth="1"/>
    <col min="10" max="10" width="12.5703125" style="5" customWidth="1"/>
    <col min="11" max="11" width="12.85546875" style="5" customWidth="1"/>
    <col min="12" max="12" width="9.7109375" style="5" bestFit="1" customWidth="1"/>
    <col min="13" max="13" width="10.28515625" customWidth="1"/>
    <col min="14" max="14" width="10.5703125" style="5" bestFit="1" customWidth="1"/>
    <col min="15" max="15" width="12.7109375" style="5" customWidth="1"/>
    <col min="16" max="16" width="14.7109375" style="5" customWidth="1"/>
    <col min="17" max="17" width="10.140625" customWidth="1"/>
    <col min="20" max="20" width="13.28515625" customWidth="1"/>
    <col min="21" max="21" width="11.7109375" style="7" customWidth="1"/>
    <col min="22" max="22" width="10.7109375" customWidth="1"/>
    <col min="23" max="24" width="11.140625" customWidth="1"/>
    <col min="25" max="25" width="11.7109375" customWidth="1"/>
    <col min="26" max="26" width="11.5703125" style="5" bestFit="1" customWidth="1"/>
    <col min="27" max="27" width="11.7109375" customWidth="1"/>
    <col min="28" max="28" width="11.42578125" customWidth="1"/>
    <col min="29" max="29" width="19.7109375" customWidth="1"/>
  </cols>
  <sheetData>
    <row r="1" spans="1:30">
      <c r="M1" s="30" t="s">
        <v>0</v>
      </c>
      <c r="N1" s="30"/>
      <c r="O1" s="30"/>
      <c r="P1" s="30"/>
      <c r="Q1" s="30"/>
      <c r="R1" s="30"/>
      <c r="S1" s="6"/>
      <c r="T1" s="6"/>
    </row>
    <row r="2" spans="1:30" ht="60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3" t="s">
        <v>72</v>
      </c>
      <c r="H2" s="13" t="s">
        <v>7</v>
      </c>
      <c r="I2" s="13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3" t="s">
        <v>14</v>
      </c>
      <c r="P2" s="12" t="s">
        <v>15</v>
      </c>
      <c r="Q2" s="12" t="s">
        <v>16</v>
      </c>
      <c r="R2" s="13" t="s">
        <v>17</v>
      </c>
      <c r="S2" s="13" t="s">
        <v>18</v>
      </c>
      <c r="T2" s="13" t="s">
        <v>19</v>
      </c>
      <c r="U2" s="14" t="s">
        <v>20</v>
      </c>
      <c r="V2" s="13" t="s">
        <v>21</v>
      </c>
      <c r="W2" s="13" t="s">
        <v>22</v>
      </c>
      <c r="X2" s="13" t="s">
        <v>74</v>
      </c>
      <c r="Y2" s="13" t="s">
        <v>75</v>
      </c>
      <c r="Z2" s="12" t="s">
        <v>23</v>
      </c>
      <c r="AA2" s="13" t="s">
        <v>24</v>
      </c>
    </row>
    <row r="3" spans="1:30">
      <c r="A3" s="15" t="s">
        <v>25</v>
      </c>
      <c r="B3" s="9"/>
      <c r="C3" s="9"/>
      <c r="D3" s="11"/>
      <c r="E3" s="11"/>
      <c r="F3" s="12"/>
      <c r="G3" s="12"/>
      <c r="H3" s="13"/>
      <c r="I3" s="13"/>
      <c r="J3" s="12"/>
      <c r="K3" s="12"/>
      <c r="L3" s="12"/>
      <c r="M3" s="12"/>
      <c r="N3" s="12"/>
      <c r="O3" s="13"/>
      <c r="P3" s="12"/>
      <c r="Q3" s="12"/>
      <c r="R3" s="13"/>
      <c r="S3" s="13"/>
      <c r="T3" s="13"/>
      <c r="U3" s="14"/>
      <c r="V3" s="13"/>
      <c r="W3" s="13"/>
      <c r="X3" s="13"/>
      <c r="Y3" s="13"/>
      <c r="Z3" s="12"/>
      <c r="AA3" s="13"/>
    </row>
    <row r="4" spans="1:30">
      <c r="A4" s="1">
        <v>43761</v>
      </c>
      <c r="C4" s="2" t="s">
        <v>26</v>
      </c>
      <c r="D4" s="3">
        <v>2306.7800000000002</v>
      </c>
      <c r="E4" s="4" t="s">
        <v>26</v>
      </c>
      <c r="Z4" s="5">
        <v>2306.7800000000002</v>
      </c>
      <c r="AA4" s="5">
        <f>SUM(G4:Z4)</f>
        <v>2306.7800000000002</v>
      </c>
      <c r="AB4" s="3">
        <f t="shared" ref="AB4:AB67" si="0">D4-AA4</f>
        <v>0</v>
      </c>
    </row>
    <row r="5" spans="1:30">
      <c r="A5" s="1">
        <v>43867</v>
      </c>
      <c r="C5" s="2" t="s">
        <v>73</v>
      </c>
      <c r="D5" s="3">
        <v>10000</v>
      </c>
      <c r="E5" s="4" t="s">
        <v>27</v>
      </c>
      <c r="Y5">
        <v>10000</v>
      </c>
      <c r="AA5" s="5">
        <f t="shared" ref="AA5:AA66" si="1">SUM(G5:Z5)</f>
        <v>10000</v>
      </c>
      <c r="AB5" s="3">
        <f t="shared" si="0"/>
        <v>0</v>
      </c>
    </row>
    <row r="6" spans="1:30">
      <c r="A6" s="1">
        <v>43971</v>
      </c>
      <c r="B6" s="2" t="s">
        <v>28</v>
      </c>
      <c r="C6" s="2" t="s">
        <v>29</v>
      </c>
      <c r="D6" s="3">
        <v>0.08</v>
      </c>
      <c r="E6" s="4" t="s">
        <v>30</v>
      </c>
      <c r="M6">
        <v>0.08</v>
      </c>
      <c r="AA6" s="5">
        <f t="shared" si="1"/>
        <v>0.08</v>
      </c>
      <c r="AB6" s="3">
        <f t="shared" si="0"/>
        <v>0</v>
      </c>
    </row>
    <row r="7" spans="1:30">
      <c r="A7" s="1">
        <v>43971</v>
      </c>
      <c r="B7" s="2" t="s">
        <v>28</v>
      </c>
      <c r="C7" s="2" t="s">
        <v>6</v>
      </c>
      <c r="D7" s="3">
        <v>2828.59</v>
      </c>
      <c r="G7" s="17">
        <f>2828.59+44.33+47.12+7.44</f>
        <v>2927.48</v>
      </c>
      <c r="W7">
        <f>-44.33-47.12-7.44</f>
        <v>-98.889999999999986</v>
      </c>
      <c r="AA7" s="5">
        <f t="shared" si="1"/>
        <v>2828.59</v>
      </c>
      <c r="AB7" s="3">
        <f t="shared" si="0"/>
        <v>0</v>
      </c>
    </row>
    <row r="8" spans="1:30">
      <c r="A8" s="1">
        <v>43973</v>
      </c>
      <c r="B8" s="2" t="s">
        <v>31</v>
      </c>
      <c r="C8" s="2" t="s">
        <v>6</v>
      </c>
      <c r="D8" s="3">
        <v>1350</v>
      </c>
      <c r="G8" s="5">
        <v>1350</v>
      </c>
      <c r="AA8" s="5">
        <f t="shared" si="1"/>
        <v>1350</v>
      </c>
      <c r="AB8" s="3">
        <f t="shared" si="0"/>
        <v>0</v>
      </c>
    </row>
    <row r="9" spans="1:30">
      <c r="A9" s="1">
        <v>43987</v>
      </c>
      <c r="B9" s="2" t="s">
        <v>32</v>
      </c>
      <c r="C9" s="2" t="s">
        <v>6</v>
      </c>
      <c r="D9" s="3">
        <v>1010</v>
      </c>
      <c r="G9" s="5">
        <v>1010</v>
      </c>
      <c r="AA9" s="5">
        <f t="shared" si="1"/>
        <v>1010</v>
      </c>
      <c r="AB9" s="3">
        <f t="shared" si="0"/>
        <v>0</v>
      </c>
    </row>
    <row r="10" spans="1:30">
      <c r="A10" s="1">
        <v>43997</v>
      </c>
      <c r="B10" s="2" t="s">
        <v>28</v>
      </c>
      <c r="C10" s="2" t="s">
        <v>6</v>
      </c>
      <c r="D10" s="3">
        <v>435.12</v>
      </c>
      <c r="G10" s="17">
        <f>75+75+75+72.52+75+75</f>
        <v>447.52</v>
      </c>
      <c r="W10">
        <f>-2.48*5</f>
        <v>-12.4</v>
      </c>
      <c r="AA10" s="5">
        <f t="shared" si="1"/>
        <v>435.12</v>
      </c>
      <c r="AB10" s="3">
        <f t="shared" si="0"/>
        <v>0</v>
      </c>
    </row>
    <row r="11" spans="1:30">
      <c r="A11" s="1">
        <v>44032</v>
      </c>
      <c r="B11" s="2" t="s">
        <v>31</v>
      </c>
      <c r="C11" s="2" t="s">
        <v>6</v>
      </c>
      <c r="D11" s="3">
        <v>725</v>
      </c>
      <c r="G11" s="5">
        <v>725</v>
      </c>
      <c r="AA11" s="5">
        <f t="shared" si="1"/>
        <v>725</v>
      </c>
      <c r="AB11" s="3">
        <f t="shared" si="0"/>
        <v>0</v>
      </c>
    </row>
    <row r="12" spans="1:30">
      <c r="A12" s="1">
        <v>44034</v>
      </c>
      <c r="B12" s="2" t="s">
        <v>28</v>
      </c>
      <c r="C12" s="2" t="s">
        <v>6</v>
      </c>
      <c r="D12" s="3">
        <v>507.64</v>
      </c>
      <c r="G12" s="5">
        <f>75*7</f>
        <v>525</v>
      </c>
      <c r="W12">
        <f>-2.48*7</f>
        <v>-17.36</v>
      </c>
      <c r="AA12" s="5">
        <f t="shared" si="1"/>
        <v>507.64</v>
      </c>
      <c r="AB12" s="3">
        <f t="shared" si="0"/>
        <v>0</v>
      </c>
    </row>
    <row r="13" spans="1:30">
      <c r="A13" s="1">
        <v>44048</v>
      </c>
      <c r="B13" s="2" t="s">
        <v>28</v>
      </c>
      <c r="C13" s="2" t="s">
        <v>33</v>
      </c>
      <c r="D13" s="3">
        <v>65</v>
      </c>
      <c r="E13" s="4" t="s">
        <v>34</v>
      </c>
      <c r="U13" s="7">
        <v>65</v>
      </c>
      <c r="AA13" s="5">
        <f t="shared" si="1"/>
        <v>65</v>
      </c>
      <c r="AB13" s="3">
        <f t="shared" si="0"/>
        <v>0</v>
      </c>
    </row>
    <row r="14" spans="1:30">
      <c r="A14" s="1">
        <v>44061</v>
      </c>
      <c r="B14" s="2" t="s">
        <v>35</v>
      </c>
      <c r="C14" s="2" t="s">
        <v>29</v>
      </c>
      <c r="D14" s="3">
        <v>0.19</v>
      </c>
      <c r="E14" s="4" t="s">
        <v>30</v>
      </c>
      <c r="M14">
        <v>0.19</v>
      </c>
      <c r="AA14" s="5">
        <f t="shared" si="1"/>
        <v>0.19</v>
      </c>
      <c r="AB14" s="3">
        <f t="shared" si="0"/>
        <v>0</v>
      </c>
    </row>
    <row r="15" spans="1:30">
      <c r="A15" s="1">
        <v>44061</v>
      </c>
      <c r="B15" s="2" t="s">
        <v>35</v>
      </c>
      <c r="C15" s="2" t="s">
        <v>29</v>
      </c>
      <c r="D15" s="3">
        <v>0.22</v>
      </c>
      <c r="E15" s="4" t="s">
        <v>30</v>
      </c>
      <c r="M15">
        <v>0.22</v>
      </c>
      <c r="AA15" s="5">
        <f t="shared" si="1"/>
        <v>0.22</v>
      </c>
      <c r="AB15" s="3">
        <f t="shared" si="0"/>
        <v>0</v>
      </c>
    </row>
    <row r="16" spans="1:30">
      <c r="A16" s="1">
        <v>44071</v>
      </c>
      <c r="B16" s="2" t="s">
        <v>35</v>
      </c>
      <c r="C16" s="2" t="s">
        <v>6</v>
      </c>
      <c r="D16" s="3">
        <v>27.5</v>
      </c>
      <c r="U16" s="7">
        <v>27.5</v>
      </c>
      <c r="AA16" s="5">
        <f t="shared" si="1"/>
        <v>27.5</v>
      </c>
      <c r="AB16" s="3">
        <f t="shared" si="0"/>
        <v>0</v>
      </c>
      <c r="AC16" s="16"/>
      <c r="AD16" s="16"/>
    </row>
    <row r="17" spans="1:31">
      <c r="A17" s="1">
        <v>44110</v>
      </c>
      <c r="B17" s="2" t="s">
        <v>28</v>
      </c>
      <c r="C17" s="2" t="s">
        <v>6</v>
      </c>
      <c r="D17" s="3">
        <v>479.68</v>
      </c>
      <c r="G17" s="17">
        <f>75+148.62+112.75+158.88-3.62-3.88</f>
        <v>487.75</v>
      </c>
      <c r="W17">
        <f>-2.48-4.61-3.57-4.91+3.62+3.88</f>
        <v>-8.07</v>
      </c>
      <c r="AA17" s="5">
        <f t="shared" si="1"/>
        <v>479.68</v>
      </c>
      <c r="AB17" s="3">
        <f t="shared" si="0"/>
        <v>0</v>
      </c>
    </row>
    <row r="18" spans="1:31">
      <c r="A18" s="1">
        <v>44118</v>
      </c>
      <c r="B18" s="2" t="s">
        <v>35</v>
      </c>
      <c r="C18" s="2" t="s">
        <v>6</v>
      </c>
      <c r="D18" s="3">
        <v>970.5</v>
      </c>
      <c r="G18" s="5">
        <f>192.5+260+313+175</f>
        <v>940.5</v>
      </c>
      <c r="K18" s="5">
        <v>30</v>
      </c>
      <c r="AA18" s="5">
        <f t="shared" si="1"/>
        <v>970.5</v>
      </c>
      <c r="AB18" s="3">
        <f t="shared" si="0"/>
        <v>0</v>
      </c>
    </row>
    <row r="19" spans="1:31">
      <c r="A19" s="1">
        <v>44120</v>
      </c>
      <c r="B19" s="2" t="s">
        <v>31</v>
      </c>
      <c r="C19" s="2" t="s">
        <v>6</v>
      </c>
      <c r="D19" s="3">
        <v>4705</v>
      </c>
      <c r="G19" s="5">
        <v>4705</v>
      </c>
      <c r="AA19" s="5">
        <f t="shared" si="1"/>
        <v>4705</v>
      </c>
      <c r="AB19" s="3">
        <f t="shared" si="0"/>
        <v>0</v>
      </c>
    </row>
    <row r="20" spans="1:31">
      <c r="A20" s="1">
        <v>44120</v>
      </c>
      <c r="B20" s="2" t="s">
        <v>28</v>
      </c>
      <c r="C20" s="2" t="s">
        <v>6</v>
      </c>
      <c r="D20" s="3">
        <v>569.02</v>
      </c>
      <c r="G20" s="17">
        <f>110+476.63-4-11.63</f>
        <v>571</v>
      </c>
      <c r="W20">
        <f>-3.49-14.12+4+11.63</f>
        <v>-1.9799999999999986</v>
      </c>
      <c r="AA20" s="5">
        <f t="shared" si="1"/>
        <v>569.02</v>
      </c>
      <c r="AB20" s="3">
        <f t="shared" si="0"/>
        <v>0</v>
      </c>
    </row>
    <row r="21" spans="1:31">
      <c r="A21" s="1">
        <v>44113</v>
      </c>
      <c r="B21" s="2" t="s">
        <v>31</v>
      </c>
      <c r="C21" s="2" t="s">
        <v>6</v>
      </c>
      <c r="D21" s="3">
        <v>7921.75</v>
      </c>
      <c r="G21" s="5">
        <f>7921.75-153.25-25</f>
        <v>7743.5</v>
      </c>
      <c r="K21" s="5">
        <f>153.25+25</f>
        <v>178.25</v>
      </c>
      <c r="AA21" s="5">
        <f t="shared" si="1"/>
        <v>7921.75</v>
      </c>
      <c r="AB21" s="3">
        <f t="shared" si="0"/>
        <v>0</v>
      </c>
    </row>
    <row r="22" spans="1:31">
      <c r="A22" s="1">
        <v>44123</v>
      </c>
      <c r="B22" s="2" t="s">
        <v>35</v>
      </c>
      <c r="C22" s="2" t="s">
        <v>6</v>
      </c>
      <c r="D22" s="3">
        <v>325</v>
      </c>
      <c r="G22" s="5">
        <v>325</v>
      </c>
      <c r="AA22" s="5">
        <f t="shared" si="1"/>
        <v>325</v>
      </c>
      <c r="AB22" s="3">
        <f t="shared" si="0"/>
        <v>0</v>
      </c>
    </row>
    <row r="23" spans="1:31">
      <c r="A23" s="1">
        <v>44131</v>
      </c>
      <c r="B23" s="2" t="s">
        <v>31</v>
      </c>
      <c r="C23" s="2" t="s">
        <v>6</v>
      </c>
      <c r="D23" s="3">
        <v>5746.55</v>
      </c>
      <c r="G23" s="5">
        <f>75+312.5+325+155+100+625+155+250+310+565+312.5+325+325+325+325+365+625</f>
        <v>5475</v>
      </c>
      <c r="K23" s="5">
        <f>20+60+25+15+42+42+45+22.55</f>
        <v>271.55</v>
      </c>
      <c r="AA23" s="5">
        <f t="shared" si="1"/>
        <v>5746.55</v>
      </c>
      <c r="AB23" s="3">
        <f t="shared" si="0"/>
        <v>0</v>
      </c>
    </row>
    <row r="24" spans="1:31">
      <c r="A24" s="1">
        <v>44132</v>
      </c>
      <c r="B24" s="2" t="s">
        <v>35</v>
      </c>
      <c r="C24" s="2" t="s">
        <v>6</v>
      </c>
      <c r="D24" s="3">
        <v>110</v>
      </c>
      <c r="G24" s="5">
        <v>110</v>
      </c>
      <c r="AA24" s="5">
        <f t="shared" si="1"/>
        <v>110</v>
      </c>
      <c r="AB24" s="3">
        <f t="shared" si="0"/>
        <v>0</v>
      </c>
    </row>
    <row r="25" spans="1:31">
      <c r="A25" s="1">
        <v>44132</v>
      </c>
      <c r="B25" s="2" t="s">
        <v>28</v>
      </c>
      <c r="C25" s="2" t="s">
        <v>6</v>
      </c>
      <c r="D25" s="3">
        <v>310.42</v>
      </c>
      <c r="G25" s="17">
        <f>320-10</f>
        <v>310</v>
      </c>
      <c r="W25">
        <f>-9.58+10</f>
        <v>0.41999999999999993</v>
      </c>
      <c r="AA25" s="5">
        <f t="shared" si="1"/>
        <v>310.42</v>
      </c>
      <c r="AB25" s="3">
        <f t="shared" si="0"/>
        <v>0</v>
      </c>
    </row>
    <row r="26" spans="1:31">
      <c r="A26" s="1">
        <v>44176</v>
      </c>
      <c r="B26" s="2" t="s">
        <v>31</v>
      </c>
      <c r="C26" s="2" t="s">
        <v>6</v>
      </c>
      <c r="D26" s="3">
        <v>3115.75</v>
      </c>
      <c r="G26" s="17">
        <f>700+312.5+330.56+125+1550</f>
        <v>3018.06</v>
      </c>
      <c r="K26" s="5">
        <f>25+50+22.69</f>
        <v>97.69</v>
      </c>
      <c r="AA26" s="5">
        <f t="shared" si="1"/>
        <v>3115.75</v>
      </c>
      <c r="AB26" s="3">
        <f t="shared" si="0"/>
        <v>0</v>
      </c>
    </row>
    <row r="27" spans="1:31">
      <c r="A27" s="1">
        <v>44264</v>
      </c>
      <c r="B27" s="2" t="s">
        <v>31</v>
      </c>
      <c r="C27" s="2" t="s">
        <v>6</v>
      </c>
      <c r="D27" s="3">
        <v>1569.05</v>
      </c>
      <c r="G27" s="5">
        <f>310+192.5+750+125+75</f>
        <v>1452.5</v>
      </c>
      <c r="K27" s="5">
        <f>69.05+47.5</f>
        <v>116.55</v>
      </c>
      <c r="AA27" s="5">
        <f t="shared" si="1"/>
        <v>1569.05</v>
      </c>
      <c r="AB27" s="3">
        <f t="shared" si="0"/>
        <v>0</v>
      </c>
    </row>
    <row r="28" spans="1:31">
      <c r="A28" s="1">
        <v>44265</v>
      </c>
      <c r="B28" s="2" t="s">
        <v>28</v>
      </c>
      <c r="C28" s="2" t="s">
        <v>6</v>
      </c>
      <c r="D28" s="3">
        <v>555.65</v>
      </c>
      <c r="E28" s="18"/>
      <c r="G28" s="17">
        <f>75*3+348.5-16.5</f>
        <v>557</v>
      </c>
      <c r="W28">
        <f>-2.48*3-10.41+16.5</f>
        <v>-1.3500000000000014</v>
      </c>
      <c r="AA28" s="5">
        <f t="shared" si="1"/>
        <v>555.65</v>
      </c>
      <c r="AB28" s="3">
        <f t="shared" si="0"/>
        <v>0</v>
      </c>
    </row>
    <row r="29" spans="1:31">
      <c r="A29" s="1">
        <v>44319</v>
      </c>
      <c r="B29" s="2" t="s">
        <v>28</v>
      </c>
      <c r="C29" s="2" t="s">
        <v>6</v>
      </c>
      <c r="D29" s="3">
        <v>598.55999999999995</v>
      </c>
      <c r="E29" s="18"/>
      <c r="G29" s="17">
        <f>75+293+75+75</f>
        <v>518</v>
      </c>
      <c r="K29" s="5">
        <v>100</v>
      </c>
      <c r="W29">
        <f>-2.48-8.8-3.2-2.48-2.48</f>
        <v>-19.440000000000001</v>
      </c>
      <c r="AA29" s="5">
        <f t="shared" si="1"/>
        <v>598.55999999999995</v>
      </c>
      <c r="AB29" s="19">
        <f t="shared" si="0"/>
        <v>0</v>
      </c>
      <c r="AC29" s="16"/>
    </row>
    <row r="30" spans="1:31">
      <c r="A30" s="1">
        <v>44319</v>
      </c>
      <c r="B30" s="2" t="s">
        <v>35</v>
      </c>
      <c r="C30" s="2" t="s">
        <v>6</v>
      </c>
      <c r="D30" s="3">
        <v>110</v>
      </c>
      <c r="G30" s="17">
        <v>110</v>
      </c>
      <c r="AA30" s="5">
        <f t="shared" si="1"/>
        <v>110</v>
      </c>
      <c r="AB30" s="3">
        <f t="shared" si="0"/>
        <v>0</v>
      </c>
    </row>
    <row r="31" spans="1:31" ht="13.5" customHeight="1">
      <c r="A31" s="1">
        <v>44319</v>
      </c>
      <c r="B31" s="2" t="s">
        <v>28</v>
      </c>
      <c r="C31" s="2" t="s">
        <v>6</v>
      </c>
      <c r="D31" s="3">
        <v>968.87</v>
      </c>
      <c r="G31" s="17">
        <f>7*75+317.75-9.75</f>
        <v>833</v>
      </c>
      <c r="K31" s="5">
        <v>48.18</v>
      </c>
      <c r="U31" s="7">
        <v>110</v>
      </c>
      <c r="W31">
        <f>-2.48*7-1.7-3.49-9.51+9.75</f>
        <v>-22.309999999999995</v>
      </c>
      <c r="AA31" s="5">
        <f t="shared" si="1"/>
        <v>968.87</v>
      </c>
      <c r="AB31" s="19">
        <f t="shared" si="0"/>
        <v>0</v>
      </c>
      <c r="AC31" s="16"/>
      <c r="AD31" s="16"/>
      <c r="AE31" s="16"/>
    </row>
    <row r="32" spans="1:31">
      <c r="A32" s="1">
        <v>44320</v>
      </c>
      <c r="B32" s="2" t="s">
        <v>31</v>
      </c>
      <c r="C32" s="2" t="s">
        <v>6</v>
      </c>
      <c r="D32" s="3">
        <v>3239</v>
      </c>
      <c r="G32" s="5">
        <f>312.5+412.5+625+310+625+145+700</f>
        <v>3130</v>
      </c>
      <c r="K32" s="5">
        <f>67+42</f>
        <v>109</v>
      </c>
      <c r="AA32" s="5">
        <f t="shared" si="1"/>
        <v>3239</v>
      </c>
      <c r="AB32" s="3">
        <f t="shared" si="0"/>
        <v>0</v>
      </c>
    </row>
    <row r="33" spans="1:28">
      <c r="A33" s="1">
        <v>44342</v>
      </c>
      <c r="B33" s="2" t="s">
        <v>31</v>
      </c>
      <c r="C33" s="2" t="s">
        <v>6</v>
      </c>
      <c r="D33" s="3">
        <v>3642.44</v>
      </c>
      <c r="G33" s="17">
        <f>100+155+155+294.44+390+320+310+220+232+295+75+300+300+496-100-295</f>
        <v>3247.44</v>
      </c>
      <c r="J33" s="5">
        <v>295</v>
      </c>
      <c r="K33" s="5">
        <f>57+15.5</f>
        <v>72.5</v>
      </c>
      <c r="N33" s="5">
        <v>27.5</v>
      </c>
      <c r="AA33" s="5">
        <f t="shared" si="1"/>
        <v>3642.44</v>
      </c>
      <c r="AB33" s="3">
        <f t="shared" si="0"/>
        <v>0</v>
      </c>
    </row>
    <row r="34" spans="1:28">
      <c r="A34" s="1">
        <v>44369</v>
      </c>
      <c r="B34" s="2" t="s">
        <v>31</v>
      </c>
      <c r="C34" s="2" t="s">
        <v>6</v>
      </c>
      <c r="D34" s="3">
        <v>3300.25</v>
      </c>
      <c r="G34" s="5">
        <f>300+155+625+270+155+315+300+300+385+385</f>
        <v>3190</v>
      </c>
      <c r="K34" s="5">
        <f>60+50.25</f>
        <v>110.25</v>
      </c>
      <c r="AA34" s="5">
        <f t="shared" si="1"/>
        <v>3300.25</v>
      </c>
      <c r="AB34" s="3">
        <f t="shared" si="0"/>
        <v>0</v>
      </c>
    </row>
    <row r="35" spans="1:28">
      <c r="A35" s="1">
        <v>44397</v>
      </c>
      <c r="B35" s="2" t="s">
        <v>28</v>
      </c>
      <c r="C35" s="2" t="s">
        <v>6</v>
      </c>
      <c r="D35" s="3">
        <v>2907.92</v>
      </c>
      <c r="G35" s="17">
        <f>71.75+625+476.63+476.63+116.85+75+476.63+358.75+317.75-11.63-11.63-2.85-11.63-8.75-7.75</f>
        <v>2940.75</v>
      </c>
      <c r="W35">
        <f>-2.38-18.43-14.12-14.12-3.69-14.12-10.7-9.51+11.63+11.63+2.85+11.63+8.75+7.75</f>
        <v>-32.830000000000005</v>
      </c>
      <c r="AA35" s="5">
        <f t="shared" si="1"/>
        <v>2907.92</v>
      </c>
      <c r="AB35" s="3">
        <f t="shared" si="0"/>
        <v>0</v>
      </c>
    </row>
    <row r="36" spans="1:28">
      <c r="A36" s="1">
        <v>44405</v>
      </c>
      <c r="B36" s="2" t="s">
        <v>31</v>
      </c>
      <c r="C36" s="2" t="s">
        <v>6</v>
      </c>
      <c r="D36" s="3">
        <v>4035</v>
      </c>
      <c r="G36" s="5">
        <f>625+220+412.5+275+100+300+155+275+625+110+170+300+312.5+155</f>
        <v>4035</v>
      </c>
      <c r="AA36" s="5">
        <f t="shared" si="1"/>
        <v>4035</v>
      </c>
      <c r="AB36" s="3">
        <f t="shared" si="0"/>
        <v>0</v>
      </c>
    </row>
    <row r="37" spans="1:28">
      <c r="A37" s="1">
        <v>44403</v>
      </c>
      <c r="B37" s="2" t="s">
        <v>35</v>
      </c>
      <c r="C37" s="2" t="s">
        <v>6</v>
      </c>
      <c r="D37" s="3">
        <v>300</v>
      </c>
      <c r="G37" s="5">
        <v>300</v>
      </c>
      <c r="AA37" s="5">
        <f t="shared" si="1"/>
        <v>300</v>
      </c>
      <c r="AB37" s="3">
        <f t="shared" si="0"/>
        <v>0</v>
      </c>
    </row>
    <row r="38" spans="1:28" s="16" customFormat="1">
      <c r="A38" s="28">
        <v>44420</v>
      </c>
      <c r="B38" s="22" t="s">
        <v>31</v>
      </c>
      <c r="C38" s="22" t="s">
        <v>6</v>
      </c>
      <c r="D38" s="19">
        <v>2517.5</v>
      </c>
      <c r="E38" s="18"/>
      <c r="F38" s="17"/>
      <c r="G38" s="17">
        <f>625+155+385+312.5+845</f>
        <v>2322.5</v>
      </c>
      <c r="J38" s="17">
        <f>175</f>
        <v>175</v>
      </c>
      <c r="K38" s="17">
        <v>20</v>
      </c>
      <c r="L38" s="17"/>
      <c r="N38" s="17"/>
      <c r="O38" s="17"/>
      <c r="P38" s="17"/>
      <c r="U38" s="23"/>
      <c r="Z38" s="17"/>
      <c r="AA38" s="17">
        <f t="shared" si="1"/>
        <v>2517.5</v>
      </c>
      <c r="AB38" s="19">
        <f t="shared" si="0"/>
        <v>0</v>
      </c>
    </row>
    <row r="39" spans="1:28" s="16" customFormat="1">
      <c r="A39" s="28">
        <v>44432</v>
      </c>
      <c r="B39" s="22" t="s">
        <v>31</v>
      </c>
      <c r="C39" s="22" t="s">
        <v>6</v>
      </c>
      <c r="D39" s="19">
        <v>7738.5</v>
      </c>
      <c r="E39" s="18"/>
      <c r="F39" s="17"/>
      <c r="G39" s="17">
        <f>312.5+385+580</f>
        <v>1277.5</v>
      </c>
      <c r="J39" s="17">
        <f>315+315+240+75+50+95+110+143+190+235+40+143+75+175+155+40+205+160+175+205+225+230+235+45+40+110+50+295+315+120+110+110+80+315+315+205+45+140+110+125</f>
        <v>6361</v>
      </c>
      <c r="K39" s="17">
        <f>100</f>
        <v>100</v>
      </c>
      <c r="L39" s="17"/>
      <c r="N39" s="17"/>
      <c r="O39" s="17"/>
      <c r="P39" s="17"/>
      <c r="U39" s="23"/>
      <c r="Z39" s="17"/>
      <c r="AA39" s="17">
        <f t="shared" si="1"/>
        <v>7738.5</v>
      </c>
      <c r="AB39" s="19">
        <f t="shared" si="0"/>
        <v>0</v>
      </c>
    </row>
    <row r="40" spans="1:28" s="16" customFormat="1">
      <c r="A40" s="28">
        <v>44421</v>
      </c>
      <c r="B40" s="22" t="s">
        <v>35</v>
      </c>
      <c r="C40" s="22" t="s">
        <v>6</v>
      </c>
      <c r="D40" s="19">
        <v>671</v>
      </c>
      <c r="E40" s="18"/>
      <c r="F40" s="17"/>
      <c r="G40" s="17"/>
      <c r="J40" s="17">
        <v>671</v>
      </c>
      <c r="K40" s="17"/>
      <c r="L40" s="17"/>
      <c r="N40" s="17"/>
      <c r="O40" s="17"/>
      <c r="P40" s="17"/>
      <c r="U40" s="23"/>
      <c r="Z40" s="17"/>
      <c r="AA40" s="17">
        <f t="shared" si="1"/>
        <v>671</v>
      </c>
      <c r="AB40" s="19">
        <f t="shared" si="0"/>
        <v>0</v>
      </c>
    </row>
    <row r="41" spans="1:28" s="16" customFormat="1">
      <c r="A41" s="28">
        <v>44421</v>
      </c>
      <c r="B41" s="22" t="s">
        <v>28</v>
      </c>
      <c r="C41" s="22" t="s">
        <v>6</v>
      </c>
      <c r="D41" s="19">
        <v>1111.43</v>
      </c>
      <c r="E41" s="18"/>
      <c r="F41" s="17"/>
      <c r="G41" s="17">
        <f>625</f>
        <v>625</v>
      </c>
      <c r="J41" s="17">
        <f>69.7+50+69.7+41+110.7+87.13-1.7-1.7-1-2.7-2.13</f>
        <v>419.00000000000006</v>
      </c>
      <c r="K41" s="17">
        <v>60</v>
      </c>
      <c r="L41" s="17"/>
      <c r="N41" s="17"/>
      <c r="O41" s="17"/>
      <c r="P41" s="17"/>
      <c r="U41" s="23">
        <v>20</v>
      </c>
      <c r="W41" s="16">
        <f>-2.62-18.55-0.94-2.5-1.94-2.5-1.67-3.69-3.01+1.7+1.7+1+2.7+2.13+15.62</f>
        <v>-12.569999999999999</v>
      </c>
      <c r="Z41" s="17"/>
      <c r="AA41" s="17">
        <f t="shared" si="1"/>
        <v>1111.43</v>
      </c>
      <c r="AB41" s="19">
        <f t="shared" si="0"/>
        <v>0</v>
      </c>
    </row>
    <row r="42" spans="1:28" s="16" customFormat="1">
      <c r="A42" s="28">
        <v>44434</v>
      </c>
      <c r="B42" s="22" t="s">
        <v>28</v>
      </c>
      <c r="C42" s="22" t="s">
        <v>6</v>
      </c>
      <c r="D42" s="19">
        <v>1152.5</v>
      </c>
      <c r="E42" s="18"/>
      <c r="F42" s="17"/>
      <c r="G42" s="17">
        <f>540</f>
        <v>540</v>
      </c>
      <c r="J42" s="17">
        <f>230.63+223.45+194.75-5.63-5.45-4.75</f>
        <v>632.99999999999989</v>
      </c>
      <c r="K42" s="17"/>
      <c r="L42" s="17"/>
      <c r="N42" s="17"/>
      <c r="O42" s="17"/>
      <c r="P42" s="17"/>
      <c r="U42" s="23"/>
      <c r="W42" s="16">
        <f>-16.1-7.16-6.95-6.12+5.63+5.45+4.75</f>
        <v>-20.5</v>
      </c>
      <c r="Z42" s="17"/>
      <c r="AA42" s="17">
        <f t="shared" si="1"/>
        <v>1152.5</v>
      </c>
      <c r="AB42" s="19">
        <f t="shared" si="0"/>
        <v>0</v>
      </c>
    </row>
    <row r="43" spans="1:28" s="16" customFormat="1">
      <c r="A43" s="28">
        <v>44455</v>
      </c>
      <c r="B43" s="22" t="s">
        <v>31</v>
      </c>
      <c r="C43" s="22" t="s">
        <v>6</v>
      </c>
      <c r="D43" s="19">
        <v>3124</v>
      </c>
      <c r="E43" s="18"/>
      <c r="F43" s="17"/>
      <c r="G43" s="17">
        <v>300</v>
      </c>
      <c r="J43" s="17">
        <f>118+68+240+125+95+110+155+40+375+95+235+230+240+118+265+315</f>
        <v>2824</v>
      </c>
      <c r="K43" s="17"/>
      <c r="L43" s="17"/>
      <c r="N43" s="17"/>
      <c r="O43" s="17"/>
      <c r="P43" s="17"/>
      <c r="U43" s="23"/>
      <c r="Z43" s="17"/>
      <c r="AA43" s="17">
        <f t="shared" si="1"/>
        <v>3124</v>
      </c>
      <c r="AB43" s="19">
        <f t="shared" si="0"/>
        <v>0</v>
      </c>
    </row>
    <row r="44" spans="1:28" s="16" customFormat="1">
      <c r="A44" s="28">
        <v>44443</v>
      </c>
      <c r="B44" s="22" t="s">
        <v>28</v>
      </c>
      <c r="C44" s="22" t="s">
        <v>6</v>
      </c>
      <c r="D44" s="19">
        <v>1921.54</v>
      </c>
      <c r="E44" s="18" t="s">
        <v>36</v>
      </c>
      <c r="F44" s="17"/>
      <c r="G44" s="17">
        <v>643.75</v>
      </c>
      <c r="J44" s="17">
        <f>194.75+264.45+194.75+322.88+112.5+117.88+125-4.75-6.45-4.75-7.88-2.5-2.88</f>
        <v>1302.9999999999998</v>
      </c>
      <c r="K44" s="17"/>
      <c r="L44" s="17"/>
      <c r="N44" s="17"/>
      <c r="O44" s="17"/>
      <c r="P44" s="17"/>
      <c r="U44" s="23"/>
      <c r="W44" s="16">
        <f>-8.13-6.12-9.82-3.74-3.9-22.71+4.75+6.45+4.75+7.88+2.5+2.88</f>
        <v>-25.21</v>
      </c>
      <c r="Z44" s="17"/>
      <c r="AA44" s="17">
        <f t="shared" si="1"/>
        <v>1921.5399999999997</v>
      </c>
      <c r="AB44" s="19">
        <f t="shared" si="0"/>
        <v>0</v>
      </c>
    </row>
    <row r="45" spans="1:28" s="16" customFormat="1">
      <c r="A45" s="28">
        <v>44456</v>
      </c>
      <c r="B45" s="22" t="s">
        <v>28</v>
      </c>
      <c r="C45" s="22" t="s">
        <v>6</v>
      </c>
      <c r="D45" s="19">
        <v>564.66</v>
      </c>
      <c r="E45" s="18"/>
      <c r="F45" s="17"/>
      <c r="G45" s="17"/>
      <c r="J45" s="17">
        <f>69.7+300+40-1.7</f>
        <v>408</v>
      </c>
      <c r="K45" s="17"/>
      <c r="L45" s="17"/>
      <c r="M45" s="16">
        <v>40</v>
      </c>
      <c r="N45" s="17"/>
      <c r="O45" s="17"/>
      <c r="P45" s="17"/>
      <c r="U45" s="23">
        <v>119.11</v>
      </c>
      <c r="W45" s="16">
        <f>-2.5-1.65+1.7</f>
        <v>-2.4500000000000002</v>
      </c>
      <c r="Z45" s="17"/>
      <c r="AA45" s="17">
        <f t="shared" si="1"/>
        <v>564.66</v>
      </c>
      <c r="AB45" s="19">
        <f t="shared" si="0"/>
        <v>0</v>
      </c>
    </row>
    <row r="46" spans="1:28" s="16" customFormat="1">
      <c r="A46" s="28">
        <v>44461</v>
      </c>
      <c r="B46" s="22" t="s">
        <v>28</v>
      </c>
      <c r="C46" s="22" t="s">
        <v>6</v>
      </c>
      <c r="D46" s="19">
        <v>360.16</v>
      </c>
      <c r="E46" s="18"/>
      <c r="F46" s="17"/>
      <c r="G46" s="17"/>
      <c r="J46" s="17">
        <f>240+118</f>
        <v>358</v>
      </c>
      <c r="K46" s="17"/>
      <c r="L46" s="17"/>
      <c r="N46" s="17"/>
      <c r="O46" s="17"/>
      <c r="P46" s="17"/>
      <c r="U46" s="23"/>
      <c r="W46" s="16">
        <f>-10.84+13</f>
        <v>2.16</v>
      </c>
      <c r="Z46" s="17"/>
      <c r="AA46" s="17">
        <f t="shared" si="1"/>
        <v>360.16</v>
      </c>
      <c r="AB46" s="19">
        <f t="shared" si="0"/>
        <v>0</v>
      </c>
    </row>
    <row r="47" spans="1:28" s="16" customFormat="1">
      <c r="A47" s="28">
        <v>44474</v>
      </c>
      <c r="B47" s="22" t="s">
        <v>28</v>
      </c>
      <c r="C47" s="22" t="s">
        <v>6</v>
      </c>
      <c r="D47" s="19">
        <v>1080.42</v>
      </c>
      <c r="E47" s="18"/>
      <c r="F47" s="17"/>
      <c r="G47" s="17">
        <v>825</v>
      </c>
      <c r="J47" s="17">
        <v>295</v>
      </c>
      <c r="K47" s="17"/>
      <c r="L47" s="17"/>
      <c r="N47" s="17"/>
      <c r="O47" s="17"/>
      <c r="P47" s="17"/>
      <c r="U47" s="23"/>
      <c r="W47" s="16">
        <v>-39.58</v>
      </c>
      <c r="Z47" s="17"/>
      <c r="AA47" s="17">
        <f t="shared" si="1"/>
        <v>1080.42</v>
      </c>
      <c r="AB47" s="19">
        <f t="shared" si="0"/>
        <v>0</v>
      </c>
    </row>
    <row r="48" spans="1:28" s="16" customFormat="1">
      <c r="A48" s="28">
        <v>44477</v>
      </c>
      <c r="B48" s="22" t="s">
        <v>35</v>
      </c>
      <c r="C48" s="22" t="s">
        <v>6</v>
      </c>
      <c r="D48" s="19">
        <v>115</v>
      </c>
      <c r="E48" s="18"/>
      <c r="F48" s="17"/>
      <c r="G48" s="17"/>
      <c r="J48" s="17">
        <v>115</v>
      </c>
      <c r="K48" s="17"/>
      <c r="L48" s="17"/>
      <c r="N48" s="17"/>
      <c r="O48" s="17"/>
      <c r="P48" s="17"/>
      <c r="U48" s="23"/>
      <c r="Z48" s="17"/>
      <c r="AA48" s="17">
        <f t="shared" si="1"/>
        <v>115</v>
      </c>
      <c r="AB48" s="19">
        <f t="shared" si="0"/>
        <v>0</v>
      </c>
    </row>
    <row r="49" spans="1:44" s="16" customFormat="1">
      <c r="A49" s="28">
        <v>44477</v>
      </c>
      <c r="B49" s="22" t="s">
        <v>28</v>
      </c>
      <c r="C49" s="22" t="s">
        <v>6</v>
      </c>
      <c r="D49" s="19">
        <v>567.12</v>
      </c>
      <c r="E49" s="18"/>
      <c r="F49" s="17"/>
      <c r="G49" s="17">
        <v>220</v>
      </c>
      <c r="J49" s="17">
        <f>50+315</f>
        <v>365</v>
      </c>
      <c r="K49" s="17"/>
      <c r="L49" s="17"/>
      <c r="N49" s="17"/>
      <c r="O49" s="17"/>
      <c r="P49" s="17"/>
      <c r="U49" s="23"/>
      <c r="W49" s="16">
        <v>-17.88</v>
      </c>
      <c r="Z49" s="17"/>
      <c r="AA49" s="17">
        <f t="shared" si="1"/>
        <v>567.12</v>
      </c>
      <c r="AB49" s="19">
        <f t="shared" si="0"/>
        <v>0</v>
      </c>
    </row>
    <row r="50" spans="1:44" s="16" customFormat="1">
      <c r="A50" s="28">
        <v>44487</v>
      </c>
      <c r="B50" s="22" t="s">
        <v>37</v>
      </c>
      <c r="C50" s="22" t="s">
        <v>38</v>
      </c>
      <c r="D50" s="19">
        <v>194.15</v>
      </c>
      <c r="E50" s="18" t="s">
        <v>56</v>
      </c>
      <c r="F50" s="17"/>
      <c r="G50" s="17"/>
      <c r="J50" s="17"/>
      <c r="K50" s="17"/>
      <c r="L50" s="17"/>
      <c r="N50" s="17"/>
      <c r="O50" s="17"/>
      <c r="P50" s="17"/>
      <c r="T50" s="16">
        <v>194.15</v>
      </c>
      <c r="U50" s="23"/>
      <c r="Z50" s="17"/>
      <c r="AA50" s="17">
        <f t="shared" si="1"/>
        <v>194.15</v>
      </c>
      <c r="AB50" s="19">
        <f t="shared" si="0"/>
        <v>0</v>
      </c>
    </row>
    <row r="51" spans="1:44" s="16" customFormat="1">
      <c r="A51" s="28">
        <v>44476</v>
      </c>
      <c r="B51" s="22" t="s">
        <v>31</v>
      </c>
      <c r="C51" s="22" t="s">
        <v>6</v>
      </c>
      <c r="D51" s="19">
        <v>1030</v>
      </c>
      <c r="E51" s="18"/>
      <c r="F51" s="17"/>
      <c r="G51" s="17">
        <v>625</v>
      </c>
      <c r="J51" s="17">
        <f>183+75+85</f>
        <v>343</v>
      </c>
      <c r="K51" s="17">
        <v>42</v>
      </c>
      <c r="L51" s="17">
        <v>20</v>
      </c>
      <c r="N51" s="17"/>
      <c r="O51" s="17"/>
      <c r="P51" s="17"/>
      <c r="U51" s="23"/>
      <c r="Z51" s="17"/>
      <c r="AA51" s="17">
        <f t="shared" si="1"/>
        <v>1030</v>
      </c>
      <c r="AB51" s="19">
        <f t="shared" si="0"/>
        <v>0</v>
      </c>
    </row>
    <row r="52" spans="1:44">
      <c r="A52" s="1">
        <v>44501</v>
      </c>
      <c r="B52" s="2" t="s">
        <v>39</v>
      </c>
      <c r="C52" s="2" t="s">
        <v>40</v>
      </c>
      <c r="D52" s="3">
        <v>1679.75</v>
      </c>
      <c r="E52" s="4" t="s">
        <v>41</v>
      </c>
      <c r="I52">
        <v>80</v>
      </c>
      <c r="J52" s="5">
        <v>68</v>
      </c>
      <c r="K52" s="5">
        <f>1292.5+331.75-209.5</f>
        <v>1414.75</v>
      </c>
      <c r="S52">
        <v>209.5</v>
      </c>
      <c r="V52">
        <v>1200</v>
      </c>
      <c r="AA52" s="5">
        <f t="shared" si="1"/>
        <v>2972.25</v>
      </c>
      <c r="AB52" s="3">
        <f t="shared" si="0"/>
        <v>-1292.5</v>
      </c>
      <c r="AC52" s="16" t="s">
        <v>42</v>
      </c>
    </row>
    <row r="53" spans="1:44">
      <c r="A53" s="1">
        <v>44501</v>
      </c>
      <c r="B53" s="2" t="s">
        <v>39</v>
      </c>
      <c r="C53" s="2" t="s">
        <v>40</v>
      </c>
      <c r="D53" s="3">
        <v>2468.3000000000002</v>
      </c>
      <c r="E53" s="4" t="s">
        <v>41</v>
      </c>
      <c r="K53" s="5">
        <f>124.75+68.8+40+120</f>
        <v>353.55</v>
      </c>
      <c r="N53" s="5">
        <v>60</v>
      </c>
      <c r="O53" s="5">
        <v>475</v>
      </c>
      <c r="P53" s="5">
        <v>287.25</v>
      </c>
      <c r="AA53" s="5">
        <f t="shared" si="1"/>
        <v>1175.8</v>
      </c>
      <c r="AB53" s="3">
        <f t="shared" si="0"/>
        <v>1292.5000000000002</v>
      </c>
      <c r="AC53" s="16" t="s">
        <v>42</v>
      </c>
    </row>
    <row r="54" spans="1:44">
      <c r="A54" s="1">
        <v>44508</v>
      </c>
      <c r="B54" s="2" t="s">
        <v>35</v>
      </c>
      <c r="C54" s="2" t="s">
        <v>6</v>
      </c>
      <c r="D54" s="3">
        <v>515.75</v>
      </c>
      <c r="K54" s="17">
        <f>35+20+144.75</f>
        <v>199.75</v>
      </c>
      <c r="N54" s="5">
        <v>150</v>
      </c>
      <c r="O54" s="5">
        <f>55+75+20</f>
        <v>150</v>
      </c>
      <c r="P54" s="5">
        <v>16</v>
      </c>
      <c r="AA54" s="5">
        <f t="shared" si="1"/>
        <v>515.75</v>
      </c>
      <c r="AB54" s="19">
        <f t="shared" si="0"/>
        <v>0</v>
      </c>
      <c r="AC54" s="16"/>
      <c r="AD54" s="16"/>
    </row>
    <row r="55" spans="1:44">
      <c r="A55" s="1">
        <v>44132</v>
      </c>
      <c r="B55" s="2" t="s">
        <v>43</v>
      </c>
      <c r="C55" s="2" t="s">
        <v>44</v>
      </c>
      <c r="D55" s="3">
        <v>-52</v>
      </c>
      <c r="E55" s="4" t="s">
        <v>45</v>
      </c>
      <c r="K55" s="5">
        <v>-42</v>
      </c>
      <c r="L55" s="5">
        <v>-10</v>
      </c>
      <c r="AA55" s="5">
        <f t="shared" si="1"/>
        <v>-52</v>
      </c>
      <c r="AB55" s="3">
        <f t="shared" si="0"/>
        <v>0</v>
      </c>
    </row>
    <row r="56" spans="1:44">
      <c r="A56" s="1">
        <v>44113</v>
      </c>
      <c r="B56" s="2" t="s">
        <v>43</v>
      </c>
      <c r="C56" s="2" t="s">
        <v>44</v>
      </c>
      <c r="D56" s="3">
        <v>-635</v>
      </c>
      <c r="E56" s="4" t="s">
        <v>45</v>
      </c>
      <c r="G56" s="5">
        <v>-625</v>
      </c>
      <c r="L56" s="5">
        <v>-10</v>
      </c>
      <c r="AA56" s="5">
        <f t="shared" si="1"/>
        <v>-635</v>
      </c>
      <c r="AB56" s="3">
        <f t="shared" si="0"/>
        <v>0</v>
      </c>
    </row>
    <row r="57" spans="1:44">
      <c r="A57" s="1">
        <v>44435</v>
      </c>
      <c r="B57" s="2" t="s">
        <v>35</v>
      </c>
      <c r="C57" s="2" t="s">
        <v>70</v>
      </c>
      <c r="D57" s="3">
        <v>-40</v>
      </c>
      <c r="M57">
        <v>-40</v>
      </c>
      <c r="AA57" s="5">
        <f t="shared" ref="AA57" si="2">SUM(G57:Z57)</f>
        <v>-40</v>
      </c>
      <c r="AB57" s="3">
        <f t="shared" si="0"/>
        <v>0</v>
      </c>
    </row>
    <row r="58" spans="1:44">
      <c r="AA58" s="5"/>
      <c r="AB58" s="3"/>
    </row>
    <row r="59" spans="1:44">
      <c r="C59" s="2" t="s">
        <v>69</v>
      </c>
      <c r="D59" s="5">
        <f>SUM(D4:D58)</f>
        <v>90821.309999999983</v>
      </c>
      <c r="F59" s="5">
        <f>SUM(F4:F58)</f>
        <v>0</v>
      </c>
      <c r="G59" s="5">
        <f t="shared" ref="G59:AR59" si="3">SUM(G4:G58)</f>
        <v>57738.25</v>
      </c>
      <c r="H59" s="5">
        <f t="shared" si="3"/>
        <v>0</v>
      </c>
      <c r="I59" s="5">
        <f t="shared" si="3"/>
        <v>80</v>
      </c>
      <c r="J59" s="5">
        <f t="shared" si="3"/>
        <v>14633</v>
      </c>
      <c r="K59" s="5">
        <f t="shared" si="3"/>
        <v>3282.02</v>
      </c>
      <c r="L59" s="5">
        <f t="shared" si="3"/>
        <v>0</v>
      </c>
      <c r="M59" s="5">
        <f t="shared" si="3"/>
        <v>0.49000000000000199</v>
      </c>
      <c r="N59" s="5">
        <f t="shared" si="3"/>
        <v>237.5</v>
      </c>
      <c r="O59" s="5">
        <f t="shared" si="3"/>
        <v>625</v>
      </c>
      <c r="P59" s="5">
        <f t="shared" si="3"/>
        <v>303.25</v>
      </c>
      <c r="Q59" s="5">
        <f t="shared" si="3"/>
        <v>0</v>
      </c>
      <c r="R59" s="5">
        <f t="shared" si="3"/>
        <v>0</v>
      </c>
      <c r="S59" s="5">
        <f t="shared" si="3"/>
        <v>209.5</v>
      </c>
      <c r="T59" s="5">
        <f t="shared" si="3"/>
        <v>194.15</v>
      </c>
      <c r="U59" s="5">
        <f t="shared" si="3"/>
        <v>341.61</v>
      </c>
      <c r="V59" s="5">
        <f t="shared" si="3"/>
        <v>1200</v>
      </c>
      <c r="W59" s="5">
        <f t="shared" si="3"/>
        <v>-330.2399999999999</v>
      </c>
      <c r="X59" s="5">
        <f t="shared" si="3"/>
        <v>0</v>
      </c>
      <c r="Y59" s="5">
        <f t="shared" si="3"/>
        <v>10000</v>
      </c>
      <c r="Z59" s="5">
        <f t="shared" si="3"/>
        <v>2306.7800000000002</v>
      </c>
      <c r="AA59" s="5">
        <f t="shared" si="3"/>
        <v>90821.309999999983</v>
      </c>
      <c r="AB59" s="5">
        <f t="shared" si="3"/>
        <v>2.2737367544323206E-13</v>
      </c>
      <c r="AC59" s="5">
        <f t="shared" si="3"/>
        <v>0</v>
      </c>
      <c r="AD59" s="5">
        <f t="shared" si="3"/>
        <v>0</v>
      </c>
      <c r="AE59" s="5">
        <f t="shared" si="3"/>
        <v>0</v>
      </c>
      <c r="AF59" s="5">
        <f t="shared" si="3"/>
        <v>0</v>
      </c>
      <c r="AG59" s="5">
        <f t="shared" si="3"/>
        <v>0</v>
      </c>
      <c r="AH59" s="5">
        <f t="shared" si="3"/>
        <v>0</v>
      </c>
      <c r="AI59" s="5">
        <f t="shared" si="3"/>
        <v>0</v>
      </c>
      <c r="AJ59" s="5">
        <f t="shared" si="3"/>
        <v>0</v>
      </c>
      <c r="AK59" s="5">
        <f t="shared" si="3"/>
        <v>0</v>
      </c>
      <c r="AL59" s="5">
        <f t="shared" si="3"/>
        <v>0</v>
      </c>
      <c r="AM59" s="5">
        <f t="shared" si="3"/>
        <v>0</v>
      </c>
      <c r="AN59" s="5">
        <f t="shared" si="3"/>
        <v>0</v>
      </c>
      <c r="AO59" s="5">
        <f t="shared" si="3"/>
        <v>0</v>
      </c>
      <c r="AP59" s="5">
        <f t="shared" si="3"/>
        <v>0</v>
      </c>
      <c r="AQ59" s="5">
        <f t="shared" si="3"/>
        <v>0</v>
      </c>
      <c r="AR59" s="5">
        <f t="shared" si="3"/>
        <v>0</v>
      </c>
    </row>
    <row r="60" spans="1:44">
      <c r="A60" s="20" t="s">
        <v>46</v>
      </c>
      <c r="E60" s="27">
        <f>SUM(F59:Z59)</f>
        <v>90821.31</v>
      </c>
      <c r="AA60" s="5"/>
      <c r="AB60" s="3"/>
    </row>
    <row r="61" spans="1:44">
      <c r="AA61" s="5"/>
      <c r="AB61" s="3"/>
    </row>
    <row r="62" spans="1:44">
      <c r="A62" s="1">
        <v>44481</v>
      </c>
      <c r="B62" s="2" t="s">
        <v>22</v>
      </c>
      <c r="C62" s="2" t="s">
        <v>47</v>
      </c>
      <c r="D62" s="3">
        <v>38.35</v>
      </c>
      <c r="E62" s="4" t="s">
        <v>48</v>
      </c>
      <c r="I62">
        <v>40</v>
      </c>
      <c r="W62">
        <v>-1.65</v>
      </c>
      <c r="AA62" s="5">
        <f t="shared" si="1"/>
        <v>38.35</v>
      </c>
      <c r="AB62" s="3">
        <f t="shared" si="0"/>
        <v>0</v>
      </c>
    </row>
    <row r="63" spans="1:44">
      <c r="A63" s="1">
        <v>43622</v>
      </c>
      <c r="B63" s="2" t="s">
        <v>49</v>
      </c>
      <c r="C63" s="2" t="s">
        <v>50</v>
      </c>
      <c r="D63" s="3">
        <v>5000</v>
      </c>
      <c r="E63" s="3"/>
      <c r="Z63" s="5">
        <v>5000</v>
      </c>
      <c r="AA63" s="5">
        <f t="shared" si="1"/>
        <v>5000</v>
      </c>
      <c r="AB63" s="3">
        <f t="shared" si="0"/>
        <v>0</v>
      </c>
    </row>
    <row r="64" spans="1:44">
      <c r="A64" s="1">
        <v>44501</v>
      </c>
      <c r="B64" s="2" t="s">
        <v>49</v>
      </c>
      <c r="C64" s="2" t="s">
        <v>51</v>
      </c>
      <c r="D64" s="3">
        <v>26723.82</v>
      </c>
      <c r="E64" s="3"/>
      <c r="Z64" s="3">
        <v>26723.82</v>
      </c>
      <c r="AA64" s="5">
        <f t="shared" si="1"/>
        <v>26723.82</v>
      </c>
      <c r="AB64" s="3">
        <f t="shared" si="0"/>
        <v>0</v>
      </c>
    </row>
    <row r="65" spans="1:28">
      <c r="A65" s="1">
        <v>44500</v>
      </c>
      <c r="B65" s="2" t="s">
        <v>49</v>
      </c>
      <c r="C65" s="2" t="s">
        <v>52</v>
      </c>
      <c r="D65" s="3">
        <v>8255.25</v>
      </c>
      <c r="E65" s="3"/>
      <c r="Z65" s="3">
        <v>8255.25</v>
      </c>
      <c r="AA65" s="5">
        <f t="shared" si="1"/>
        <v>8255.25</v>
      </c>
      <c r="AB65" s="3">
        <f t="shared" si="0"/>
        <v>0</v>
      </c>
    </row>
    <row r="66" spans="1:28">
      <c r="C66" s="25"/>
      <c r="D66" s="29"/>
      <c r="E66" s="3"/>
      <c r="Z66" s="3"/>
      <c r="AA66" s="5"/>
      <c r="AB66" s="3"/>
    </row>
    <row r="67" spans="1:28">
      <c r="C67" s="25"/>
      <c r="D67" s="29"/>
      <c r="E67" s="3"/>
      <c r="Z67" s="3"/>
      <c r="AA67" s="5"/>
      <c r="AB67" s="3"/>
    </row>
    <row r="68" spans="1:28">
      <c r="C68" s="25"/>
      <c r="D68" s="29"/>
      <c r="E68" s="3"/>
      <c r="Z68" s="3"/>
      <c r="AA68" s="5"/>
      <c r="AB68" s="3"/>
    </row>
    <row r="69" spans="1:28">
      <c r="C69" s="2" t="s">
        <v>69</v>
      </c>
      <c r="D69" s="3">
        <f>SUM(D59:D67)</f>
        <v>130838.72999999998</v>
      </c>
      <c r="F69" s="5">
        <f>SUM(F59:F67)</f>
        <v>0</v>
      </c>
      <c r="G69" s="5">
        <f t="shared" ref="G69:Z69" si="4">SUM(G59:G67)</f>
        <v>57738.25</v>
      </c>
      <c r="H69" s="5">
        <f t="shared" si="4"/>
        <v>0</v>
      </c>
      <c r="I69" s="5">
        <f t="shared" si="4"/>
        <v>120</v>
      </c>
      <c r="J69" s="5">
        <f t="shared" si="4"/>
        <v>14633</v>
      </c>
      <c r="K69" s="5">
        <f t="shared" si="4"/>
        <v>3282.02</v>
      </c>
      <c r="L69" s="5">
        <f t="shared" si="4"/>
        <v>0</v>
      </c>
      <c r="M69" s="5">
        <f t="shared" si="4"/>
        <v>0.49000000000000199</v>
      </c>
      <c r="N69" s="5">
        <f t="shared" si="4"/>
        <v>237.5</v>
      </c>
      <c r="O69" s="5">
        <f t="shared" si="4"/>
        <v>625</v>
      </c>
      <c r="P69" s="5">
        <f t="shared" si="4"/>
        <v>303.25</v>
      </c>
      <c r="Q69" s="5">
        <f t="shared" si="4"/>
        <v>0</v>
      </c>
      <c r="R69" s="5">
        <f t="shared" si="4"/>
        <v>0</v>
      </c>
      <c r="S69" s="5">
        <f t="shared" si="4"/>
        <v>209.5</v>
      </c>
      <c r="T69" s="5">
        <f t="shared" si="4"/>
        <v>194.15</v>
      </c>
      <c r="U69" s="5">
        <f t="shared" si="4"/>
        <v>341.61</v>
      </c>
      <c r="V69" s="5">
        <f t="shared" si="4"/>
        <v>1200</v>
      </c>
      <c r="W69" s="5">
        <f t="shared" si="4"/>
        <v>-331.88999999999987</v>
      </c>
      <c r="X69" s="5">
        <f t="shared" si="4"/>
        <v>0</v>
      </c>
      <c r="Y69" s="5">
        <f t="shared" si="4"/>
        <v>10000</v>
      </c>
      <c r="Z69" s="5">
        <f t="shared" si="4"/>
        <v>42285.85</v>
      </c>
      <c r="AA69" s="3">
        <f>SUM(AA59:AA67)</f>
        <v>130838.72999999998</v>
      </c>
      <c r="AB69" s="3"/>
    </row>
    <row r="70" spans="1:28">
      <c r="E70" s="27">
        <f>SUM(F69:Z69)</f>
        <v>130838.73000000001</v>
      </c>
    </row>
    <row r="71" spans="1:28">
      <c r="A71" s="20" t="s">
        <v>55</v>
      </c>
    </row>
    <row r="72" spans="1:28">
      <c r="A72" s="20"/>
      <c r="B72" s="25" t="s">
        <v>64</v>
      </c>
      <c r="G72" s="5">
        <v>-550</v>
      </c>
      <c r="H72">
        <v>550</v>
      </c>
      <c r="AA72" s="5">
        <f t="shared" ref="AA72:AA87" si="5">SUM(G72:Z72)</f>
        <v>0</v>
      </c>
    </row>
    <row r="73" spans="1:28">
      <c r="A73" s="20"/>
      <c r="B73" s="25" t="s">
        <v>62</v>
      </c>
      <c r="G73" s="5">
        <v>-160</v>
      </c>
      <c r="I73">
        <v>160</v>
      </c>
      <c r="AA73" s="5">
        <f t="shared" si="5"/>
        <v>0</v>
      </c>
    </row>
    <row r="74" spans="1:28">
      <c r="A74" s="20"/>
      <c r="B74" s="25" t="s">
        <v>63</v>
      </c>
      <c r="G74" s="5">
        <v>-450</v>
      </c>
      <c r="Q74">
        <v>450</v>
      </c>
      <c r="AA74" s="5">
        <f t="shared" si="5"/>
        <v>0</v>
      </c>
    </row>
    <row r="75" spans="1:28">
      <c r="A75" s="20"/>
      <c r="B75" s="25" t="s">
        <v>71</v>
      </c>
      <c r="AA75" s="5">
        <f t="shared" si="5"/>
        <v>0</v>
      </c>
    </row>
    <row r="76" spans="1:28">
      <c r="A76" s="20"/>
      <c r="AA76" s="5"/>
    </row>
    <row r="77" spans="1:28">
      <c r="A77" s="20" t="s">
        <v>57</v>
      </c>
      <c r="AA77" s="5">
        <f t="shared" si="5"/>
        <v>0</v>
      </c>
    </row>
    <row r="78" spans="1:28">
      <c r="A78" s="20"/>
      <c r="B78" s="25" t="s">
        <v>66</v>
      </c>
      <c r="D78" s="3">
        <v>120</v>
      </c>
      <c r="I78">
        <v>120</v>
      </c>
      <c r="AA78" s="5">
        <f t="shared" si="5"/>
        <v>120</v>
      </c>
    </row>
    <row r="79" spans="1:28">
      <c r="A79" s="20"/>
      <c r="B79" s="25" t="s">
        <v>67</v>
      </c>
      <c r="D79" s="3">
        <v>-5151</v>
      </c>
      <c r="G79" s="5">
        <v>-5008</v>
      </c>
      <c r="J79" s="5">
        <v>-143</v>
      </c>
      <c r="AA79" s="5">
        <f t="shared" si="5"/>
        <v>-5151</v>
      </c>
    </row>
    <row r="80" spans="1:28">
      <c r="A80" s="20"/>
      <c r="B80" s="25" t="s">
        <v>68</v>
      </c>
      <c r="D80" s="3">
        <v>-0.49</v>
      </c>
      <c r="M80">
        <v>-0.49</v>
      </c>
      <c r="AA80" s="5">
        <f t="shared" si="5"/>
        <v>-0.49</v>
      </c>
    </row>
    <row r="81" spans="1:44">
      <c r="A81" s="20"/>
      <c r="B81" s="25"/>
      <c r="AA81" s="5">
        <f t="shared" si="5"/>
        <v>0</v>
      </c>
    </row>
    <row r="82" spans="1:44">
      <c r="A82" s="20"/>
      <c r="B82" s="25"/>
      <c r="AA82" s="5"/>
    </row>
    <row r="83" spans="1:44">
      <c r="A83" s="20" t="s">
        <v>58</v>
      </c>
      <c r="B83" s="25"/>
      <c r="AA83" s="5">
        <f t="shared" si="5"/>
        <v>0</v>
      </c>
    </row>
    <row r="84" spans="1:44">
      <c r="A84" s="20"/>
      <c r="B84" s="25" t="s">
        <v>65</v>
      </c>
      <c r="D84" s="3">
        <v>-1200</v>
      </c>
      <c r="V84">
        <v>-1200</v>
      </c>
      <c r="AA84" s="5">
        <f t="shared" si="5"/>
        <v>-1200</v>
      </c>
    </row>
    <row r="85" spans="1:44">
      <c r="A85" s="20"/>
      <c r="B85" s="25" t="s">
        <v>59</v>
      </c>
      <c r="D85" s="3">
        <v>331.89</v>
      </c>
      <c r="W85">
        <v>331.89</v>
      </c>
      <c r="AA85" s="5">
        <f t="shared" si="5"/>
        <v>331.89</v>
      </c>
    </row>
    <row r="86" spans="1:44">
      <c r="A86" s="20"/>
      <c r="B86" s="25" t="s">
        <v>60</v>
      </c>
      <c r="D86" s="3">
        <v>-194.15</v>
      </c>
      <c r="T86">
        <v>-194.15</v>
      </c>
      <c r="AA86" s="5">
        <f t="shared" si="5"/>
        <v>-194.15</v>
      </c>
    </row>
    <row r="87" spans="1:44">
      <c r="A87" s="20"/>
      <c r="B87" s="25" t="s">
        <v>61</v>
      </c>
      <c r="D87" s="3">
        <v>-341.61</v>
      </c>
      <c r="U87" s="7">
        <v>-341.61</v>
      </c>
      <c r="Z87" s="3"/>
      <c r="AA87" s="5">
        <f t="shared" si="5"/>
        <v>-341.61</v>
      </c>
    </row>
    <row r="88" spans="1:44">
      <c r="A88" s="20"/>
      <c r="B88" s="25"/>
    </row>
    <row r="89" spans="1:44">
      <c r="A89" s="20"/>
      <c r="B89" s="25"/>
    </row>
    <row r="90" spans="1:44">
      <c r="B90" s="25"/>
      <c r="D90" s="3">
        <f>SUM(D69:D87)</f>
        <v>124403.36999999998</v>
      </c>
      <c r="E90" s="4" t="s">
        <v>53</v>
      </c>
      <c r="F90" s="3">
        <f>SUM(F69:F88)</f>
        <v>0</v>
      </c>
      <c r="G90" s="3">
        <f t="shared" ref="G90:Z90" si="6">SUM(G69:G88)</f>
        <v>51570.25</v>
      </c>
      <c r="H90" s="3">
        <f t="shared" si="6"/>
        <v>550</v>
      </c>
      <c r="I90" s="3">
        <f t="shared" si="6"/>
        <v>400</v>
      </c>
      <c r="J90" s="3">
        <f t="shared" si="6"/>
        <v>14490</v>
      </c>
      <c r="K90" s="3">
        <f t="shared" si="6"/>
        <v>3282.02</v>
      </c>
      <c r="L90" s="3">
        <f t="shared" si="6"/>
        <v>0</v>
      </c>
      <c r="M90" s="3">
        <f t="shared" si="6"/>
        <v>1.9984014443252818E-15</v>
      </c>
      <c r="N90" s="3">
        <f t="shared" si="6"/>
        <v>237.5</v>
      </c>
      <c r="O90" s="3">
        <f t="shared" si="6"/>
        <v>625</v>
      </c>
      <c r="P90" s="3">
        <f t="shared" si="6"/>
        <v>303.25</v>
      </c>
      <c r="Q90" s="3">
        <f t="shared" si="6"/>
        <v>450</v>
      </c>
      <c r="R90" s="3">
        <f t="shared" si="6"/>
        <v>0</v>
      </c>
      <c r="S90" s="3">
        <f t="shared" si="6"/>
        <v>209.5</v>
      </c>
      <c r="T90" s="3">
        <f t="shared" si="6"/>
        <v>0</v>
      </c>
      <c r="U90" s="3">
        <f t="shared" si="6"/>
        <v>0</v>
      </c>
      <c r="V90" s="3">
        <f t="shared" si="6"/>
        <v>0</v>
      </c>
      <c r="W90" s="3">
        <f t="shared" si="6"/>
        <v>0</v>
      </c>
      <c r="X90" s="3">
        <f t="shared" si="6"/>
        <v>0</v>
      </c>
      <c r="Y90" s="3">
        <f t="shared" si="6"/>
        <v>10000</v>
      </c>
      <c r="Z90" s="3">
        <f t="shared" si="6"/>
        <v>42285.85</v>
      </c>
      <c r="AA90" s="3">
        <f>SUM(AA69:AA87)</f>
        <v>124403.36999999998</v>
      </c>
      <c r="AB90" s="3">
        <f>SUM(AB59:AB88)</f>
        <v>2.2737367544323206E-13</v>
      </c>
    </row>
    <row r="91" spans="1:44">
      <c r="B91" s="25"/>
      <c r="E91" s="27">
        <f>SUM(F90:Z90)</f>
        <v>124403.37</v>
      </c>
    </row>
    <row r="92" spans="1:44">
      <c r="B92" s="25"/>
      <c r="D92" s="3">
        <f>D90-AA90</f>
        <v>0</v>
      </c>
      <c r="O92" s="3"/>
    </row>
    <row r="93" spans="1:44">
      <c r="B93" s="25"/>
      <c r="C93" s="4" t="s">
        <v>54</v>
      </c>
      <c r="P93" s="3"/>
    </row>
    <row r="94" spans="1:44">
      <c r="B94" s="26"/>
      <c r="C94" s="22"/>
      <c r="D94" s="19"/>
      <c r="E94" s="18"/>
      <c r="F94" s="17"/>
      <c r="G94" s="17"/>
      <c r="H94" s="16"/>
      <c r="I94" s="16"/>
      <c r="J94" s="17"/>
      <c r="K94" s="17"/>
      <c r="L94" s="17"/>
      <c r="M94" s="16"/>
      <c r="N94" s="17"/>
      <c r="O94" s="17"/>
      <c r="P94" s="17"/>
      <c r="Q94" s="16"/>
      <c r="R94" s="16"/>
      <c r="S94" s="16"/>
      <c r="T94" s="16"/>
      <c r="U94" s="23"/>
      <c r="V94" s="16"/>
      <c r="W94" s="16"/>
      <c r="X94" s="16"/>
      <c r="Y94" s="16"/>
      <c r="Z94" s="17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</row>
    <row r="95" spans="1:44">
      <c r="B95" s="22"/>
      <c r="C95" s="22"/>
      <c r="D95" s="19"/>
      <c r="E95" s="18"/>
      <c r="F95" s="17"/>
      <c r="G95" s="17"/>
      <c r="H95" s="16"/>
      <c r="I95" s="16"/>
      <c r="J95" s="17"/>
      <c r="K95" s="17"/>
      <c r="L95" s="17"/>
      <c r="M95" s="16"/>
      <c r="N95" s="17"/>
      <c r="O95" s="17"/>
      <c r="P95" s="17"/>
      <c r="Q95" s="16"/>
      <c r="R95" s="16"/>
      <c r="S95" s="16"/>
      <c r="T95" s="16"/>
      <c r="U95" s="23"/>
      <c r="V95" s="16"/>
      <c r="W95" s="16"/>
      <c r="X95" s="16"/>
      <c r="Y95" s="16"/>
      <c r="Z95" s="17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</row>
    <row r="96" spans="1:44">
      <c r="B96" s="22"/>
      <c r="C96" s="22"/>
      <c r="D96" s="19"/>
      <c r="E96" s="18"/>
      <c r="F96" s="17"/>
      <c r="G96" s="17"/>
      <c r="H96" s="16"/>
      <c r="I96" s="17"/>
      <c r="J96" s="17"/>
      <c r="K96" s="17"/>
      <c r="L96" s="17"/>
      <c r="M96" s="16"/>
      <c r="N96" s="17"/>
      <c r="O96" s="17"/>
      <c r="P96" s="17"/>
      <c r="Q96" s="16"/>
      <c r="R96" s="17"/>
      <c r="S96" s="17"/>
      <c r="T96" s="16"/>
      <c r="U96" s="23"/>
      <c r="V96" s="17"/>
      <c r="W96" s="16"/>
      <c r="X96" s="16"/>
      <c r="Y96" s="16"/>
      <c r="Z96" s="17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</row>
    <row r="97" spans="2:44">
      <c r="B97" s="22"/>
      <c r="C97" s="22"/>
      <c r="D97" s="19"/>
      <c r="E97" s="18"/>
      <c r="F97" s="17"/>
      <c r="G97" s="17"/>
      <c r="H97" s="16"/>
      <c r="I97" s="16"/>
      <c r="J97" s="17"/>
      <c r="K97" s="17"/>
      <c r="L97" s="17"/>
      <c r="M97" s="16"/>
      <c r="N97" s="17"/>
      <c r="O97" s="17"/>
      <c r="P97" s="17"/>
      <c r="Q97" s="16"/>
      <c r="R97" s="16"/>
      <c r="S97" s="16"/>
      <c r="T97" s="16"/>
      <c r="U97" s="23"/>
      <c r="V97" s="16"/>
      <c r="W97" s="16"/>
      <c r="X97" s="16"/>
      <c r="Y97" s="16"/>
      <c r="Z97" s="17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</row>
    <row r="98" spans="2:44">
      <c r="B98" s="22"/>
      <c r="C98" s="22"/>
      <c r="D98" s="19"/>
      <c r="E98" s="18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6"/>
      <c r="X98" s="16"/>
      <c r="Y98" s="16"/>
      <c r="Z98" s="17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</row>
    <row r="99" spans="2:44">
      <c r="B99" s="22"/>
      <c r="C99" s="22"/>
      <c r="D99" s="19"/>
      <c r="E99" s="18"/>
      <c r="F99" s="17"/>
      <c r="G99" s="17"/>
      <c r="H99" s="16"/>
      <c r="I99" s="16"/>
      <c r="J99" s="17"/>
      <c r="K99" s="17"/>
      <c r="L99" s="17"/>
      <c r="M99" s="16"/>
      <c r="N99" s="17"/>
      <c r="O99" s="17"/>
      <c r="P99" s="17"/>
      <c r="Q99" s="16"/>
      <c r="R99" s="16"/>
      <c r="S99" s="16"/>
      <c r="T99" s="16"/>
      <c r="U99" s="23"/>
      <c r="V99" s="16"/>
      <c r="W99" s="16"/>
      <c r="X99" s="16"/>
      <c r="Y99" s="16"/>
      <c r="Z99" s="17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</row>
    <row r="100" spans="2:44">
      <c r="B100" s="22"/>
      <c r="C100" s="22"/>
      <c r="D100" s="19"/>
      <c r="E100" s="18"/>
      <c r="F100" s="17"/>
      <c r="G100" s="17"/>
      <c r="H100" s="16"/>
      <c r="I100" s="16"/>
      <c r="J100" s="17"/>
      <c r="K100" s="17"/>
      <c r="L100" s="17"/>
      <c r="M100" s="16"/>
      <c r="N100" s="17"/>
      <c r="O100" s="17"/>
      <c r="P100" s="17"/>
      <c r="Q100" s="16"/>
      <c r="R100" s="16"/>
      <c r="S100" s="16"/>
      <c r="T100" s="16"/>
      <c r="U100" s="23"/>
      <c r="V100" s="16"/>
      <c r="W100" s="16"/>
      <c r="X100" s="16"/>
      <c r="Y100" s="16"/>
      <c r="Z100" s="17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</row>
    <row r="101" spans="2:44">
      <c r="B101" s="22"/>
      <c r="C101" s="22"/>
      <c r="D101" s="19"/>
      <c r="E101" s="18"/>
      <c r="F101" s="17"/>
      <c r="G101" s="17"/>
      <c r="H101" s="16"/>
      <c r="I101" s="16"/>
      <c r="J101" s="17"/>
      <c r="K101" s="17"/>
      <c r="L101" s="17"/>
      <c r="M101" s="16"/>
      <c r="N101" s="17"/>
      <c r="O101" s="17"/>
      <c r="P101" s="17"/>
      <c r="Q101" s="16"/>
      <c r="R101" s="16"/>
      <c r="S101" s="16"/>
      <c r="T101" s="16"/>
      <c r="U101" s="23"/>
      <c r="V101" s="16"/>
      <c r="W101" s="16"/>
      <c r="X101" s="16"/>
      <c r="Y101" s="16"/>
      <c r="Z101" s="17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</row>
    <row r="102" spans="2:44">
      <c r="B102" s="22"/>
      <c r="C102" s="22"/>
      <c r="D102" s="19"/>
      <c r="E102" s="18"/>
      <c r="F102" s="17"/>
      <c r="G102" s="17"/>
      <c r="H102" s="16"/>
      <c r="I102" s="16"/>
      <c r="J102" s="17"/>
      <c r="K102" s="17"/>
      <c r="L102" s="17"/>
      <c r="M102" s="16"/>
      <c r="N102" s="17"/>
      <c r="O102" s="17"/>
      <c r="P102" s="17"/>
      <c r="Q102" s="16"/>
      <c r="R102" s="16"/>
      <c r="S102" s="16"/>
      <c r="T102" s="16"/>
      <c r="U102" s="23"/>
      <c r="V102" s="16"/>
      <c r="W102" s="16"/>
      <c r="X102" s="16"/>
      <c r="Y102" s="16"/>
      <c r="Z102" s="17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</row>
    <row r="103" spans="2:44">
      <c r="B103" s="22"/>
      <c r="C103" s="22"/>
      <c r="D103" s="19"/>
      <c r="E103" s="18"/>
      <c r="F103" s="17"/>
      <c r="G103" s="17"/>
      <c r="H103" s="16"/>
      <c r="I103" s="16"/>
      <c r="J103" s="17"/>
      <c r="K103" s="17"/>
      <c r="L103" s="17"/>
      <c r="M103" s="16"/>
      <c r="N103" s="17"/>
      <c r="O103" s="17"/>
      <c r="P103" s="17"/>
      <c r="Q103" s="16"/>
      <c r="R103" s="16"/>
      <c r="S103" s="16"/>
      <c r="T103" s="16"/>
      <c r="U103" s="23"/>
      <c r="V103" s="16"/>
      <c r="W103" s="16"/>
      <c r="X103" s="16"/>
      <c r="Y103" s="16"/>
      <c r="Z103" s="17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</row>
    <row r="104" spans="2:44">
      <c r="B104" s="22"/>
      <c r="C104" s="22"/>
      <c r="D104" s="19"/>
      <c r="E104" s="18"/>
      <c r="F104" s="17"/>
      <c r="G104" s="17"/>
      <c r="H104" s="16"/>
      <c r="I104" s="16"/>
      <c r="J104" s="17"/>
      <c r="K104" s="17">
        <v>10066</v>
      </c>
      <c r="L104" s="17">
        <v>786</v>
      </c>
      <c r="M104" s="16">
        <v>3781</v>
      </c>
      <c r="N104" s="17"/>
      <c r="O104" s="17"/>
      <c r="P104" s="17"/>
      <c r="Q104" s="16"/>
      <c r="R104" s="16"/>
      <c r="S104" s="16"/>
      <c r="T104" s="16"/>
      <c r="U104" s="23"/>
      <c r="V104" s="16"/>
      <c r="W104" s="16"/>
      <c r="X104" s="16"/>
      <c r="Y104" s="16"/>
      <c r="Z104" s="24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</row>
    <row r="105" spans="2:44">
      <c r="B105" s="22"/>
      <c r="C105" s="22"/>
      <c r="D105" s="19"/>
      <c r="E105" s="18"/>
      <c r="F105" s="17"/>
      <c r="G105" s="17"/>
      <c r="H105" s="16"/>
      <c r="I105" s="16"/>
      <c r="J105" s="17"/>
      <c r="K105" s="17"/>
      <c r="L105" s="17"/>
      <c r="M105" s="16"/>
      <c r="N105" s="17"/>
      <c r="O105" s="17"/>
      <c r="P105" s="17"/>
      <c r="Q105" s="16"/>
      <c r="R105" s="16"/>
      <c r="S105" s="16"/>
      <c r="T105" s="16"/>
      <c r="U105" s="23"/>
      <c r="V105" s="16"/>
      <c r="W105" s="16"/>
      <c r="X105" s="16"/>
      <c r="Y105" s="16"/>
      <c r="Z105" s="17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</row>
    <row r="106" spans="2:44">
      <c r="B106" s="22"/>
      <c r="C106" s="22"/>
      <c r="D106" s="19"/>
      <c r="E106" s="18"/>
      <c r="F106" s="17"/>
      <c r="G106" s="17"/>
      <c r="H106" s="16"/>
      <c r="I106" s="16"/>
      <c r="J106" s="17"/>
      <c r="K106" s="17"/>
      <c r="L106" s="17"/>
      <c r="M106" s="16"/>
      <c r="N106" s="17"/>
      <c r="O106" s="17"/>
      <c r="P106" s="17"/>
      <c r="Q106" s="16"/>
      <c r="R106" s="16"/>
      <c r="S106" s="16"/>
      <c r="T106" s="16"/>
      <c r="U106" s="23"/>
      <c r="V106" s="16"/>
      <c r="W106" s="16"/>
      <c r="X106" s="16"/>
      <c r="Y106" s="16"/>
      <c r="Z106" s="17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</row>
    <row r="107" spans="2:44">
      <c r="B107" s="22"/>
      <c r="C107" s="22"/>
      <c r="D107" s="19"/>
      <c r="E107" s="18"/>
      <c r="F107" s="17"/>
      <c r="G107" s="17"/>
      <c r="H107" s="16"/>
      <c r="I107" s="16"/>
      <c r="J107" s="17"/>
      <c r="K107" s="21"/>
      <c r="L107" s="17"/>
      <c r="M107" s="16"/>
      <c r="N107" s="17"/>
      <c r="O107" s="17"/>
      <c r="P107" s="17"/>
      <c r="Q107" s="21"/>
      <c r="R107" s="16"/>
      <c r="S107" s="16"/>
      <c r="T107" s="16"/>
      <c r="U107" s="23"/>
      <c r="V107" s="16"/>
      <c r="W107" s="16"/>
      <c r="X107" s="16"/>
      <c r="Y107" s="16"/>
      <c r="Z107" s="17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</row>
    <row r="108" spans="2:44">
      <c r="B108" s="22"/>
      <c r="C108" s="22"/>
      <c r="D108" s="19"/>
      <c r="E108" s="18"/>
      <c r="F108" s="17"/>
      <c r="G108" s="17"/>
      <c r="H108" s="16"/>
      <c r="I108" s="16"/>
      <c r="J108" s="17"/>
      <c r="K108" s="21"/>
      <c r="L108" s="17"/>
      <c r="M108" s="16"/>
      <c r="N108" s="17"/>
      <c r="O108" s="17"/>
      <c r="P108" s="17"/>
      <c r="Q108" s="21"/>
      <c r="R108" s="16"/>
      <c r="S108" s="16"/>
      <c r="T108" s="16"/>
      <c r="U108" s="23"/>
      <c r="V108" s="16"/>
      <c r="W108" s="16"/>
      <c r="X108" s="16"/>
      <c r="Y108" s="16"/>
      <c r="Z108" s="17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</row>
    <row r="109" spans="2:44">
      <c r="B109" s="22"/>
      <c r="C109" s="22"/>
      <c r="D109" s="19"/>
      <c r="E109" s="18"/>
      <c r="F109" s="17"/>
      <c r="G109" s="17"/>
      <c r="H109" s="16"/>
      <c r="I109" s="16"/>
      <c r="J109" s="17"/>
      <c r="K109" s="17"/>
      <c r="L109" s="17"/>
      <c r="M109" s="16"/>
      <c r="N109" s="17"/>
      <c r="O109" s="17"/>
      <c r="P109" s="17"/>
      <c r="Q109" s="16"/>
      <c r="R109" s="16"/>
      <c r="S109" s="16"/>
      <c r="T109" s="16"/>
      <c r="U109" s="23"/>
      <c r="V109" s="16"/>
      <c r="W109" s="16"/>
      <c r="X109" s="16"/>
      <c r="Y109" s="16"/>
      <c r="Z109" s="17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</row>
    <row r="110" spans="2:44">
      <c r="B110" s="22"/>
      <c r="C110" s="22"/>
      <c r="D110" s="19"/>
      <c r="E110" s="18"/>
      <c r="F110" s="17"/>
      <c r="G110" s="17"/>
      <c r="H110" s="16"/>
      <c r="I110" s="16"/>
      <c r="J110" s="17"/>
      <c r="K110" s="17"/>
      <c r="L110" s="17"/>
      <c r="M110" s="16"/>
      <c r="N110" s="17"/>
      <c r="O110" s="17"/>
      <c r="P110" s="17"/>
      <c r="Q110" s="16"/>
      <c r="R110" s="16"/>
      <c r="S110" s="16"/>
      <c r="T110" s="16"/>
      <c r="U110" s="23"/>
      <c r="V110" s="16"/>
      <c r="W110" s="16"/>
      <c r="X110" s="16"/>
      <c r="Y110" s="16"/>
      <c r="Z110" s="17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</row>
    <row r="111" spans="2:44">
      <c r="B111" s="22"/>
      <c r="C111" s="22"/>
      <c r="D111" s="19"/>
      <c r="E111" s="18"/>
      <c r="F111" s="17"/>
      <c r="G111" s="17"/>
      <c r="H111" s="16"/>
      <c r="I111" s="16"/>
      <c r="J111" s="17"/>
      <c r="K111" s="17"/>
      <c r="L111" s="17"/>
      <c r="M111" s="16"/>
      <c r="N111" s="17"/>
      <c r="O111" s="17"/>
      <c r="P111" s="17"/>
      <c r="Q111" s="16"/>
      <c r="R111" s="16"/>
      <c r="S111" s="16"/>
      <c r="T111" s="16"/>
      <c r="U111" s="23"/>
      <c r="V111" s="16"/>
      <c r="W111" s="16"/>
      <c r="X111" s="16"/>
      <c r="Y111" s="16"/>
      <c r="Z111" s="17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</row>
  </sheetData>
  <mergeCells count="1">
    <mergeCell ref="M1:R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Deposits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108"/>
  <sheetViews>
    <sheetView workbookViewId="0">
      <pane xSplit="5" ySplit="2" topLeftCell="U65" activePane="bottomRight" state="frozen"/>
      <selection pane="topRight" activeCell="F1" sqref="F1"/>
      <selection pane="bottomLeft" activeCell="A2" sqref="A2"/>
      <selection pane="bottomRight" activeCell="A83" sqref="A83:XFD85"/>
    </sheetView>
  </sheetViews>
  <sheetFormatPr defaultColWidth="9.140625" defaultRowHeight="15"/>
  <cols>
    <col min="1" max="1" width="9.140625" style="1"/>
    <col min="2" max="2" width="11.7109375" style="2" bestFit="1" customWidth="1"/>
    <col min="3" max="3" width="57.28515625" style="2" customWidth="1"/>
    <col min="4" max="4" width="11.42578125" style="3" customWidth="1"/>
    <col min="5" max="5" width="42" style="4" customWidth="1"/>
    <col min="6" max="6" width="18" style="5" customWidth="1"/>
    <col min="7" max="7" width="14.28515625" style="5" customWidth="1"/>
    <col min="10" max="10" width="12.5703125" style="5" customWidth="1"/>
    <col min="11" max="11" width="12.85546875" style="5" customWidth="1"/>
    <col min="12" max="12" width="9.7109375" style="5" bestFit="1" customWidth="1"/>
    <col min="13" max="13" width="10.28515625" customWidth="1"/>
    <col min="14" max="14" width="10.5703125" style="5" bestFit="1" customWidth="1"/>
    <col min="15" max="15" width="12.7109375" style="5" customWidth="1"/>
    <col min="16" max="16" width="14.7109375" style="5" customWidth="1"/>
    <col min="17" max="17" width="10.140625" customWidth="1"/>
    <col min="20" max="20" width="13.28515625" customWidth="1"/>
    <col min="21" max="21" width="11.7109375" style="7" customWidth="1"/>
    <col min="22" max="22" width="10.7109375" customWidth="1"/>
    <col min="23" max="24" width="11.140625" customWidth="1"/>
    <col min="25" max="25" width="11.7109375" customWidth="1"/>
    <col min="26" max="26" width="11.5703125" style="5" bestFit="1" customWidth="1"/>
    <col min="27" max="27" width="13" customWidth="1"/>
    <col min="28" max="28" width="11.42578125" customWidth="1"/>
    <col min="29" max="29" width="19.7109375" customWidth="1"/>
  </cols>
  <sheetData>
    <row r="1" spans="1:30">
      <c r="M1" s="30" t="s">
        <v>0</v>
      </c>
      <c r="N1" s="30"/>
      <c r="O1" s="30"/>
      <c r="P1" s="30"/>
      <c r="Q1" s="30"/>
      <c r="R1" s="30"/>
      <c r="S1" s="6"/>
      <c r="T1" s="6"/>
    </row>
    <row r="2" spans="1:30" ht="60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3" t="s">
        <v>72</v>
      </c>
      <c r="H2" s="13" t="s">
        <v>7</v>
      </c>
      <c r="I2" s="13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3" t="s">
        <v>14</v>
      </c>
      <c r="P2" s="12" t="s">
        <v>15</v>
      </c>
      <c r="Q2" s="12" t="s">
        <v>16</v>
      </c>
      <c r="R2" s="13" t="s">
        <v>17</v>
      </c>
      <c r="S2" s="13" t="s">
        <v>18</v>
      </c>
      <c r="T2" s="13" t="s">
        <v>19</v>
      </c>
      <c r="U2" s="14" t="s">
        <v>20</v>
      </c>
      <c r="V2" s="13" t="s">
        <v>21</v>
      </c>
      <c r="W2" s="13" t="s">
        <v>22</v>
      </c>
      <c r="X2" s="13" t="s">
        <v>74</v>
      </c>
      <c r="Y2" s="13" t="s">
        <v>75</v>
      </c>
      <c r="Z2" s="12" t="s">
        <v>23</v>
      </c>
      <c r="AA2" s="13" t="s">
        <v>24</v>
      </c>
    </row>
    <row r="3" spans="1:30">
      <c r="A3" s="15" t="s">
        <v>25</v>
      </c>
      <c r="B3" s="9"/>
      <c r="C3" s="9"/>
      <c r="D3" s="11"/>
      <c r="E3" s="11"/>
      <c r="F3" s="12"/>
      <c r="G3" s="12"/>
      <c r="H3" s="13"/>
      <c r="I3" s="13"/>
      <c r="J3" s="12"/>
      <c r="K3" s="12"/>
      <c r="L3" s="12"/>
      <c r="M3" s="12"/>
      <c r="N3" s="12"/>
      <c r="O3" s="13"/>
      <c r="P3" s="12"/>
      <c r="Q3" s="12"/>
      <c r="R3" s="13"/>
      <c r="S3" s="13"/>
      <c r="T3" s="13"/>
      <c r="U3" s="14"/>
      <c r="V3" s="13"/>
      <c r="W3" s="13"/>
      <c r="X3" s="13"/>
      <c r="Y3" s="13"/>
      <c r="Z3" s="12"/>
      <c r="AA3" s="13"/>
    </row>
    <row r="4" spans="1:30">
      <c r="A4" s="1">
        <v>43761</v>
      </c>
      <c r="C4" s="2" t="s">
        <v>26</v>
      </c>
      <c r="D4" s="3">
        <v>2306.7800000000002</v>
      </c>
      <c r="E4" s="4" t="s">
        <v>26</v>
      </c>
      <c r="Z4" s="5">
        <v>2306.7800000000002</v>
      </c>
      <c r="AA4" s="5">
        <f>SUM(G4:Z4)</f>
        <v>2306.7800000000002</v>
      </c>
      <c r="AB4" s="3">
        <f t="shared" ref="AB4:AB62" si="0">D4-AA4</f>
        <v>0</v>
      </c>
    </row>
    <row r="5" spans="1:30">
      <c r="A5" s="1">
        <v>43867</v>
      </c>
      <c r="C5" s="2" t="s">
        <v>73</v>
      </c>
      <c r="D5" s="3">
        <v>10000</v>
      </c>
      <c r="E5" s="4" t="s">
        <v>27</v>
      </c>
      <c r="Y5">
        <v>10000</v>
      </c>
      <c r="AA5" s="5">
        <f t="shared" ref="AA5:AA62" si="1">SUM(G5:Z5)</f>
        <v>10000</v>
      </c>
      <c r="AB5" s="3">
        <f t="shared" si="0"/>
        <v>0</v>
      </c>
    </row>
    <row r="6" spans="1:30">
      <c r="A6" s="1">
        <v>43971</v>
      </c>
      <c r="B6" s="2" t="s">
        <v>28</v>
      </c>
      <c r="C6" s="2" t="s">
        <v>29</v>
      </c>
      <c r="D6" s="3">
        <v>0.08</v>
      </c>
      <c r="E6" s="4" t="s">
        <v>30</v>
      </c>
      <c r="M6">
        <v>0.08</v>
      </c>
      <c r="AA6" s="5">
        <f t="shared" si="1"/>
        <v>0.08</v>
      </c>
      <c r="AB6" s="3">
        <f t="shared" si="0"/>
        <v>0</v>
      </c>
    </row>
    <row r="7" spans="1:30">
      <c r="A7" s="1">
        <v>43971</v>
      </c>
      <c r="B7" s="2" t="s">
        <v>28</v>
      </c>
      <c r="C7" s="2" t="s">
        <v>6</v>
      </c>
      <c r="D7" s="3">
        <v>2828.59</v>
      </c>
      <c r="G7" s="17">
        <f>2828.59+44.33+47.12+7.44</f>
        <v>2927.48</v>
      </c>
      <c r="W7">
        <f>-44.33-47.12-7.44</f>
        <v>-98.889999999999986</v>
      </c>
      <c r="AA7" s="5">
        <f t="shared" si="1"/>
        <v>2828.59</v>
      </c>
      <c r="AB7" s="3">
        <f t="shared" si="0"/>
        <v>0</v>
      </c>
    </row>
    <row r="8" spans="1:30">
      <c r="A8" s="1">
        <v>43973</v>
      </c>
      <c r="B8" s="2" t="s">
        <v>31</v>
      </c>
      <c r="C8" s="2" t="s">
        <v>6</v>
      </c>
      <c r="D8" s="3">
        <v>1350</v>
      </c>
      <c r="G8" s="5">
        <v>1350</v>
      </c>
      <c r="AA8" s="5">
        <f t="shared" si="1"/>
        <v>1350</v>
      </c>
      <c r="AB8" s="3">
        <f t="shared" si="0"/>
        <v>0</v>
      </c>
    </row>
    <row r="9" spans="1:30">
      <c r="A9" s="1">
        <v>43987</v>
      </c>
      <c r="B9" s="2" t="s">
        <v>32</v>
      </c>
      <c r="C9" s="2" t="s">
        <v>6</v>
      </c>
      <c r="D9" s="3">
        <v>1010</v>
      </c>
      <c r="G9" s="5">
        <v>1010</v>
      </c>
      <c r="AA9" s="5">
        <f t="shared" si="1"/>
        <v>1010</v>
      </c>
      <c r="AB9" s="3">
        <f t="shared" si="0"/>
        <v>0</v>
      </c>
    </row>
    <row r="10" spans="1:30">
      <c r="A10" s="1">
        <v>43997</v>
      </c>
      <c r="B10" s="2" t="s">
        <v>28</v>
      </c>
      <c r="C10" s="2" t="s">
        <v>6</v>
      </c>
      <c r="D10" s="3">
        <v>435.12</v>
      </c>
      <c r="G10" s="17">
        <f>75+75+75+72.52+75+75</f>
        <v>447.52</v>
      </c>
      <c r="W10">
        <f>-2.48*5</f>
        <v>-12.4</v>
      </c>
      <c r="AA10" s="5">
        <f t="shared" si="1"/>
        <v>435.12</v>
      </c>
      <c r="AB10" s="3">
        <f t="shared" si="0"/>
        <v>0</v>
      </c>
    </row>
    <row r="11" spans="1:30">
      <c r="A11" s="1">
        <v>44032</v>
      </c>
      <c r="B11" s="2" t="s">
        <v>31</v>
      </c>
      <c r="C11" s="2" t="s">
        <v>6</v>
      </c>
      <c r="D11" s="3">
        <v>725</v>
      </c>
      <c r="G11" s="5">
        <v>725</v>
      </c>
      <c r="AA11" s="5">
        <f t="shared" si="1"/>
        <v>725</v>
      </c>
      <c r="AB11" s="3">
        <f t="shared" si="0"/>
        <v>0</v>
      </c>
    </row>
    <row r="12" spans="1:30">
      <c r="A12" s="1">
        <v>44034</v>
      </c>
      <c r="B12" s="2" t="s">
        <v>28</v>
      </c>
      <c r="C12" s="2" t="s">
        <v>6</v>
      </c>
      <c r="D12" s="3">
        <v>507.64</v>
      </c>
      <c r="G12" s="5">
        <f>75*7</f>
        <v>525</v>
      </c>
      <c r="W12">
        <f>-2.48*7</f>
        <v>-17.36</v>
      </c>
      <c r="AA12" s="5">
        <f t="shared" si="1"/>
        <v>507.64</v>
      </c>
      <c r="AB12" s="3">
        <f t="shared" si="0"/>
        <v>0</v>
      </c>
    </row>
    <row r="13" spans="1:30">
      <c r="A13" s="1">
        <v>44048</v>
      </c>
      <c r="B13" s="2" t="s">
        <v>28</v>
      </c>
      <c r="C13" s="2" t="s">
        <v>33</v>
      </c>
      <c r="D13" s="3">
        <v>65</v>
      </c>
      <c r="E13" s="4" t="s">
        <v>34</v>
      </c>
      <c r="U13" s="7">
        <v>65</v>
      </c>
      <c r="AA13" s="5">
        <f t="shared" si="1"/>
        <v>65</v>
      </c>
      <c r="AB13" s="3">
        <f t="shared" si="0"/>
        <v>0</v>
      </c>
    </row>
    <row r="14" spans="1:30">
      <c r="A14" s="1">
        <v>44061</v>
      </c>
      <c r="B14" s="2" t="s">
        <v>35</v>
      </c>
      <c r="C14" s="2" t="s">
        <v>29</v>
      </c>
      <c r="D14" s="3">
        <v>0.19</v>
      </c>
      <c r="E14" s="4" t="s">
        <v>30</v>
      </c>
      <c r="M14">
        <v>0.19</v>
      </c>
      <c r="AA14" s="5">
        <f t="shared" si="1"/>
        <v>0.19</v>
      </c>
      <c r="AB14" s="3">
        <f t="shared" si="0"/>
        <v>0</v>
      </c>
    </row>
    <row r="15" spans="1:30">
      <c r="A15" s="1">
        <v>44061</v>
      </c>
      <c r="B15" s="2" t="s">
        <v>35</v>
      </c>
      <c r="C15" s="2" t="s">
        <v>29</v>
      </c>
      <c r="D15" s="3">
        <v>0.22</v>
      </c>
      <c r="E15" s="4" t="s">
        <v>30</v>
      </c>
      <c r="M15">
        <v>0.22</v>
      </c>
      <c r="AA15" s="5">
        <f t="shared" si="1"/>
        <v>0.22</v>
      </c>
      <c r="AB15" s="3">
        <f t="shared" si="0"/>
        <v>0</v>
      </c>
    </row>
    <row r="16" spans="1:30">
      <c r="A16" s="1">
        <v>44071</v>
      </c>
      <c r="B16" s="2" t="s">
        <v>35</v>
      </c>
      <c r="C16" s="2" t="s">
        <v>6</v>
      </c>
      <c r="D16" s="3">
        <v>27.5</v>
      </c>
      <c r="U16" s="7">
        <v>27.5</v>
      </c>
      <c r="AA16" s="5">
        <f t="shared" si="1"/>
        <v>27.5</v>
      </c>
      <c r="AB16" s="3">
        <f t="shared" si="0"/>
        <v>0</v>
      </c>
      <c r="AC16" s="16"/>
      <c r="AD16" s="16"/>
    </row>
    <row r="17" spans="1:31">
      <c r="A17" s="1">
        <v>44110</v>
      </c>
      <c r="B17" s="2" t="s">
        <v>28</v>
      </c>
      <c r="C17" s="2" t="s">
        <v>6</v>
      </c>
      <c r="D17" s="3">
        <v>479.68</v>
      </c>
      <c r="G17" s="17">
        <f>75+148.62+112.75+158.88-3.62-3.88</f>
        <v>487.75</v>
      </c>
      <c r="W17">
        <f>-2.48-4.61-3.57-4.91+3.62+3.88</f>
        <v>-8.07</v>
      </c>
      <c r="AA17" s="5">
        <f t="shared" si="1"/>
        <v>479.68</v>
      </c>
      <c r="AB17" s="3">
        <f t="shared" si="0"/>
        <v>0</v>
      </c>
    </row>
    <row r="18" spans="1:31">
      <c r="A18" s="1">
        <v>44118</v>
      </c>
      <c r="B18" s="2" t="s">
        <v>35</v>
      </c>
      <c r="C18" s="2" t="s">
        <v>6</v>
      </c>
      <c r="D18" s="3">
        <v>970.5</v>
      </c>
      <c r="G18" s="5">
        <f>192.5+260+313+175</f>
        <v>940.5</v>
      </c>
      <c r="K18" s="5">
        <v>30</v>
      </c>
      <c r="AA18" s="5">
        <f t="shared" si="1"/>
        <v>970.5</v>
      </c>
      <c r="AB18" s="3">
        <f t="shared" si="0"/>
        <v>0</v>
      </c>
    </row>
    <row r="19" spans="1:31">
      <c r="A19" s="1">
        <v>44120</v>
      </c>
      <c r="B19" s="2" t="s">
        <v>31</v>
      </c>
      <c r="C19" s="2" t="s">
        <v>6</v>
      </c>
      <c r="D19" s="3">
        <v>4705</v>
      </c>
      <c r="G19" s="5">
        <v>4705</v>
      </c>
      <c r="AA19" s="5">
        <f t="shared" si="1"/>
        <v>4705</v>
      </c>
      <c r="AB19" s="3">
        <f t="shared" si="0"/>
        <v>0</v>
      </c>
    </row>
    <row r="20" spans="1:31">
      <c r="A20" s="1">
        <v>44120</v>
      </c>
      <c r="B20" s="2" t="s">
        <v>28</v>
      </c>
      <c r="C20" s="2" t="s">
        <v>6</v>
      </c>
      <c r="D20" s="3">
        <v>569.02</v>
      </c>
      <c r="G20" s="17">
        <f>110+476.63-4-11.63</f>
        <v>571</v>
      </c>
      <c r="W20">
        <f>-3.49-14.12+4+11.63</f>
        <v>-1.9799999999999986</v>
      </c>
      <c r="AA20" s="5">
        <f t="shared" si="1"/>
        <v>569.02</v>
      </c>
      <c r="AB20" s="3">
        <f t="shared" si="0"/>
        <v>0</v>
      </c>
    </row>
    <row r="21" spans="1:31">
      <c r="A21" s="1">
        <v>44113</v>
      </c>
      <c r="B21" s="2" t="s">
        <v>31</v>
      </c>
      <c r="C21" s="2" t="s">
        <v>6</v>
      </c>
      <c r="D21" s="3">
        <v>7921.75</v>
      </c>
      <c r="G21" s="5">
        <f>7921.75-153.25-25</f>
        <v>7743.5</v>
      </c>
      <c r="K21" s="5">
        <f>153.25+25</f>
        <v>178.25</v>
      </c>
      <c r="AA21" s="5">
        <f t="shared" si="1"/>
        <v>7921.75</v>
      </c>
      <c r="AB21" s="3">
        <f t="shared" si="0"/>
        <v>0</v>
      </c>
    </row>
    <row r="22" spans="1:31">
      <c r="A22" s="1">
        <v>44123</v>
      </c>
      <c r="B22" s="2" t="s">
        <v>35</v>
      </c>
      <c r="C22" s="2" t="s">
        <v>6</v>
      </c>
      <c r="D22" s="3">
        <v>325</v>
      </c>
      <c r="G22" s="5">
        <v>325</v>
      </c>
      <c r="AA22" s="5">
        <f t="shared" si="1"/>
        <v>325</v>
      </c>
      <c r="AB22" s="3">
        <f t="shared" si="0"/>
        <v>0</v>
      </c>
    </row>
    <row r="23" spans="1:31">
      <c r="A23" s="1">
        <v>44131</v>
      </c>
      <c r="B23" s="2" t="s">
        <v>31</v>
      </c>
      <c r="C23" s="2" t="s">
        <v>6</v>
      </c>
      <c r="D23" s="3">
        <v>5746.55</v>
      </c>
      <c r="G23" s="5">
        <f>75+312.5+325+155+100+625+155+250+310+565+312.5+325+325+325+325+365+625</f>
        <v>5475</v>
      </c>
      <c r="K23" s="5">
        <f>20+60+25+15+42+42+45+22.55</f>
        <v>271.55</v>
      </c>
      <c r="AA23" s="5">
        <f t="shared" si="1"/>
        <v>5746.55</v>
      </c>
      <c r="AB23" s="3">
        <f t="shared" si="0"/>
        <v>0</v>
      </c>
    </row>
    <row r="24" spans="1:31">
      <c r="A24" s="1">
        <v>44132</v>
      </c>
      <c r="B24" s="2" t="s">
        <v>35</v>
      </c>
      <c r="C24" s="2" t="s">
        <v>6</v>
      </c>
      <c r="D24" s="3">
        <v>110</v>
      </c>
      <c r="G24" s="5">
        <v>110</v>
      </c>
      <c r="AA24" s="5">
        <f t="shared" si="1"/>
        <v>110</v>
      </c>
      <c r="AB24" s="3">
        <f t="shared" si="0"/>
        <v>0</v>
      </c>
    </row>
    <row r="25" spans="1:31">
      <c r="A25" s="1">
        <v>44132</v>
      </c>
      <c r="B25" s="2" t="s">
        <v>28</v>
      </c>
      <c r="C25" s="2" t="s">
        <v>6</v>
      </c>
      <c r="D25" s="3">
        <v>310.42</v>
      </c>
      <c r="G25" s="17">
        <f>320-10</f>
        <v>310</v>
      </c>
      <c r="W25">
        <f>-9.58+10</f>
        <v>0.41999999999999993</v>
      </c>
      <c r="AA25" s="5">
        <f t="shared" si="1"/>
        <v>310.42</v>
      </c>
      <c r="AB25" s="3">
        <f t="shared" si="0"/>
        <v>0</v>
      </c>
    </row>
    <row r="26" spans="1:31">
      <c r="A26" s="1">
        <v>44176</v>
      </c>
      <c r="B26" s="2" t="s">
        <v>31</v>
      </c>
      <c r="C26" s="2" t="s">
        <v>6</v>
      </c>
      <c r="D26" s="3">
        <v>3115.75</v>
      </c>
      <c r="G26" s="17">
        <f>700+312.5+330.56+125+1550</f>
        <v>3018.06</v>
      </c>
      <c r="K26" s="5">
        <f>25+50+22.69</f>
        <v>97.69</v>
      </c>
      <c r="AA26" s="5">
        <f t="shared" si="1"/>
        <v>3115.75</v>
      </c>
      <c r="AB26" s="3">
        <f t="shared" si="0"/>
        <v>0</v>
      </c>
    </row>
    <row r="27" spans="1:31">
      <c r="A27" s="1">
        <v>44264</v>
      </c>
      <c r="B27" s="2" t="s">
        <v>31</v>
      </c>
      <c r="C27" s="2" t="s">
        <v>6</v>
      </c>
      <c r="D27" s="3">
        <v>1569.05</v>
      </c>
      <c r="G27" s="5">
        <f>310+192.5+750+125+75</f>
        <v>1452.5</v>
      </c>
      <c r="K27" s="5">
        <f>69.05+47.5</f>
        <v>116.55</v>
      </c>
      <c r="AA27" s="5">
        <f t="shared" si="1"/>
        <v>1569.05</v>
      </c>
      <c r="AB27" s="3">
        <f t="shared" si="0"/>
        <v>0</v>
      </c>
    </row>
    <row r="28" spans="1:31">
      <c r="A28" s="1">
        <v>44265</v>
      </c>
      <c r="B28" s="2" t="s">
        <v>28</v>
      </c>
      <c r="C28" s="2" t="s">
        <v>6</v>
      </c>
      <c r="D28" s="3">
        <v>555.65</v>
      </c>
      <c r="E28" s="18"/>
      <c r="G28" s="17">
        <f>75*3+348.5-16.5</f>
        <v>557</v>
      </c>
      <c r="W28">
        <f>-2.48*3-10.41+16.5</f>
        <v>-1.3500000000000014</v>
      </c>
      <c r="AA28" s="5">
        <f t="shared" si="1"/>
        <v>555.65</v>
      </c>
      <c r="AB28" s="3">
        <f t="shared" si="0"/>
        <v>0</v>
      </c>
    </row>
    <row r="29" spans="1:31">
      <c r="A29" s="1">
        <v>44319</v>
      </c>
      <c r="B29" s="2" t="s">
        <v>28</v>
      </c>
      <c r="C29" s="2" t="s">
        <v>6</v>
      </c>
      <c r="D29" s="3">
        <v>598.55999999999995</v>
      </c>
      <c r="E29" s="18"/>
      <c r="G29" s="17">
        <f>75+293+75+75</f>
        <v>518</v>
      </c>
      <c r="K29" s="5">
        <v>100</v>
      </c>
      <c r="W29">
        <f>-2.48-8.8-3.2-2.48-2.48</f>
        <v>-19.440000000000001</v>
      </c>
      <c r="AA29" s="5">
        <f t="shared" si="1"/>
        <v>598.55999999999995</v>
      </c>
      <c r="AB29" s="19">
        <f t="shared" si="0"/>
        <v>0</v>
      </c>
      <c r="AC29" s="16"/>
    </row>
    <row r="30" spans="1:31">
      <c r="A30" s="1">
        <v>44319</v>
      </c>
      <c r="B30" s="2" t="s">
        <v>35</v>
      </c>
      <c r="C30" s="2" t="s">
        <v>6</v>
      </c>
      <c r="D30" s="3">
        <v>110</v>
      </c>
      <c r="G30" s="17">
        <v>110</v>
      </c>
      <c r="AA30" s="5">
        <f t="shared" si="1"/>
        <v>110</v>
      </c>
      <c r="AB30" s="3">
        <f t="shared" si="0"/>
        <v>0</v>
      </c>
    </row>
    <row r="31" spans="1:31" ht="13.5" customHeight="1">
      <c r="A31" s="1">
        <v>44319</v>
      </c>
      <c r="B31" s="2" t="s">
        <v>28</v>
      </c>
      <c r="C31" s="2" t="s">
        <v>6</v>
      </c>
      <c r="D31" s="3">
        <v>968.87</v>
      </c>
      <c r="G31" s="17">
        <f>7*75+317.75-9.75</f>
        <v>833</v>
      </c>
      <c r="K31" s="5">
        <v>48.18</v>
      </c>
      <c r="U31" s="7">
        <v>110</v>
      </c>
      <c r="W31">
        <f>-2.48*7-1.7-3.49-9.51+9.75</f>
        <v>-22.309999999999995</v>
      </c>
      <c r="AA31" s="5">
        <f t="shared" si="1"/>
        <v>968.87</v>
      </c>
      <c r="AB31" s="19">
        <f t="shared" si="0"/>
        <v>0</v>
      </c>
      <c r="AC31" s="16"/>
      <c r="AD31" s="16"/>
      <c r="AE31" s="16"/>
    </row>
    <row r="32" spans="1:31">
      <c r="A32" s="1">
        <v>44320</v>
      </c>
      <c r="B32" s="2" t="s">
        <v>31</v>
      </c>
      <c r="C32" s="2" t="s">
        <v>6</v>
      </c>
      <c r="D32" s="3">
        <v>3239</v>
      </c>
      <c r="G32" s="5">
        <f>312.5+412.5+625+310+625+145+700</f>
        <v>3130</v>
      </c>
      <c r="K32" s="5">
        <f>67+42</f>
        <v>109</v>
      </c>
      <c r="AA32" s="5">
        <f t="shared" si="1"/>
        <v>3239</v>
      </c>
      <c r="AB32" s="3">
        <f t="shared" si="0"/>
        <v>0</v>
      </c>
    </row>
    <row r="33" spans="1:28">
      <c r="A33" s="1">
        <v>44342</v>
      </c>
      <c r="B33" s="2" t="s">
        <v>31</v>
      </c>
      <c r="C33" s="2" t="s">
        <v>6</v>
      </c>
      <c r="D33" s="3">
        <v>3642.44</v>
      </c>
      <c r="G33" s="17">
        <f>100+155+155+294.44+390+320+310+220+232+295+75+300+300+496-100-295</f>
        <v>3247.44</v>
      </c>
      <c r="J33" s="5">
        <v>295</v>
      </c>
      <c r="K33" s="5">
        <f>57+15.5</f>
        <v>72.5</v>
      </c>
      <c r="N33" s="5">
        <v>27.5</v>
      </c>
      <c r="AA33" s="5">
        <f t="shared" si="1"/>
        <v>3642.44</v>
      </c>
      <c r="AB33" s="3">
        <f t="shared" si="0"/>
        <v>0</v>
      </c>
    </row>
    <row r="34" spans="1:28">
      <c r="A34" s="1">
        <v>44369</v>
      </c>
      <c r="B34" s="2" t="s">
        <v>31</v>
      </c>
      <c r="C34" s="2" t="s">
        <v>6</v>
      </c>
      <c r="D34" s="3">
        <v>3300.25</v>
      </c>
      <c r="G34" s="5">
        <f>300+155+625+270+155+315+300+300+385+385</f>
        <v>3190</v>
      </c>
      <c r="K34" s="5">
        <f>60+50.25</f>
        <v>110.25</v>
      </c>
      <c r="AA34" s="5">
        <f t="shared" si="1"/>
        <v>3300.25</v>
      </c>
      <c r="AB34" s="3">
        <f t="shared" si="0"/>
        <v>0</v>
      </c>
    </row>
    <row r="35" spans="1:28">
      <c r="A35" s="1">
        <v>44397</v>
      </c>
      <c r="B35" s="2" t="s">
        <v>28</v>
      </c>
      <c r="C35" s="2" t="s">
        <v>6</v>
      </c>
      <c r="D35" s="3">
        <v>2907.92</v>
      </c>
      <c r="G35" s="17">
        <f>71.75+625+476.63+476.63+116.85+75+476.63+358.75+317.75-11.63-11.63-2.85-11.63-8.75-7.75</f>
        <v>2940.75</v>
      </c>
      <c r="W35">
        <f>-2.38-18.43-14.12-14.12-3.69-14.12-10.7-9.51+11.63+11.63+2.85+11.63+8.75+7.75</f>
        <v>-32.830000000000005</v>
      </c>
      <c r="AA35" s="5">
        <f t="shared" si="1"/>
        <v>2907.92</v>
      </c>
      <c r="AB35" s="3">
        <f t="shared" si="0"/>
        <v>0</v>
      </c>
    </row>
    <row r="36" spans="1:28">
      <c r="A36" s="1">
        <v>44405</v>
      </c>
      <c r="B36" s="2" t="s">
        <v>31</v>
      </c>
      <c r="C36" s="2" t="s">
        <v>6</v>
      </c>
      <c r="D36" s="3">
        <v>4035</v>
      </c>
      <c r="G36" s="5">
        <f>625+220+412.5+275+100+300+155+275+625+110+170+300+312.5+155</f>
        <v>4035</v>
      </c>
      <c r="AA36" s="5">
        <f t="shared" si="1"/>
        <v>4035</v>
      </c>
      <c r="AB36" s="3">
        <f t="shared" si="0"/>
        <v>0</v>
      </c>
    </row>
    <row r="37" spans="1:28">
      <c r="A37" s="1">
        <v>44403</v>
      </c>
      <c r="B37" s="2" t="s">
        <v>35</v>
      </c>
      <c r="C37" s="2" t="s">
        <v>6</v>
      </c>
      <c r="D37" s="3">
        <v>300</v>
      </c>
      <c r="G37" s="5">
        <v>300</v>
      </c>
      <c r="AA37" s="5">
        <f t="shared" si="1"/>
        <v>300</v>
      </c>
      <c r="AB37" s="3">
        <f t="shared" si="0"/>
        <v>0</v>
      </c>
    </row>
    <row r="38" spans="1:28" s="16" customFormat="1">
      <c r="A38" s="28">
        <v>44420</v>
      </c>
      <c r="B38" s="22" t="s">
        <v>31</v>
      </c>
      <c r="C38" s="22" t="s">
        <v>6</v>
      </c>
      <c r="D38" s="19">
        <v>2517.5</v>
      </c>
      <c r="E38" s="18"/>
      <c r="F38" s="17"/>
      <c r="G38" s="17">
        <f>625+155+385+312.5+845</f>
        <v>2322.5</v>
      </c>
      <c r="J38" s="17">
        <f>175</f>
        <v>175</v>
      </c>
      <c r="K38" s="17">
        <v>20</v>
      </c>
      <c r="L38" s="17"/>
      <c r="N38" s="17"/>
      <c r="O38" s="17"/>
      <c r="P38" s="17"/>
      <c r="U38" s="23"/>
      <c r="Z38" s="17"/>
      <c r="AA38" s="17">
        <f t="shared" si="1"/>
        <v>2517.5</v>
      </c>
      <c r="AB38" s="19">
        <f t="shared" si="0"/>
        <v>0</v>
      </c>
    </row>
    <row r="39" spans="1:28" s="16" customFormat="1">
      <c r="A39" s="28">
        <v>44432</v>
      </c>
      <c r="B39" s="22" t="s">
        <v>31</v>
      </c>
      <c r="C39" s="22" t="s">
        <v>6</v>
      </c>
      <c r="D39" s="19">
        <v>7738.5</v>
      </c>
      <c r="E39" s="18"/>
      <c r="F39" s="17"/>
      <c r="G39" s="17">
        <f>312.5+385+580</f>
        <v>1277.5</v>
      </c>
      <c r="J39" s="17">
        <f>315+315+240+75+50+95+110+143+190+235+40+143+75+175+155+40+205+160+175+205+225+230+235+45+40+110+50+295+315+120+110+110+80+315+315+205+45+140+110+125</f>
        <v>6361</v>
      </c>
      <c r="K39" s="17">
        <f>100</f>
        <v>100</v>
      </c>
      <c r="L39" s="17"/>
      <c r="N39" s="17"/>
      <c r="O39" s="17"/>
      <c r="P39" s="17"/>
      <c r="U39" s="23"/>
      <c r="Z39" s="17"/>
      <c r="AA39" s="17">
        <f t="shared" si="1"/>
        <v>7738.5</v>
      </c>
      <c r="AB39" s="19">
        <f t="shared" si="0"/>
        <v>0</v>
      </c>
    </row>
    <row r="40" spans="1:28" s="16" customFormat="1">
      <c r="A40" s="28">
        <v>44421</v>
      </c>
      <c r="B40" s="22" t="s">
        <v>35</v>
      </c>
      <c r="C40" s="22" t="s">
        <v>6</v>
      </c>
      <c r="D40" s="19">
        <v>671</v>
      </c>
      <c r="E40" s="18"/>
      <c r="F40" s="17"/>
      <c r="G40" s="17"/>
      <c r="J40" s="17">
        <v>671</v>
      </c>
      <c r="K40" s="17"/>
      <c r="L40" s="17"/>
      <c r="N40" s="17"/>
      <c r="O40" s="17"/>
      <c r="P40" s="17"/>
      <c r="U40" s="23"/>
      <c r="Z40" s="17"/>
      <c r="AA40" s="17">
        <f t="shared" si="1"/>
        <v>671</v>
      </c>
      <c r="AB40" s="19">
        <f t="shared" si="0"/>
        <v>0</v>
      </c>
    </row>
    <row r="41" spans="1:28" s="16" customFormat="1">
      <c r="A41" s="28">
        <v>44421</v>
      </c>
      <c r="B41" s="22" t="s">
        <v>28</v>
      </c>
      <c r="C41" s="22" t="s">
        <v>6</v>
      </c>
      <c r="D41" s="19">
        <v>1111.43</v>
      </c>
      <c r="E41" s="18"/>
      <c r="F41" s="17"/>
      <c r="G41" s="17">
        <f>625</f>
        <v>625</v>
      </c>
      <c r="J41" s="17">
        <f>69.7+50+69.7+41+110.7+87.13-1.7-1.7-1-2.7-2.13</f>
        <v>419.00000000000006</v>
      </c>
      <c r="K41" s="17">
        <v>60</v>
      </c>
      <c r="L41" s="17"/>
      <c r="N41" s="17"/>
      <c r="O41" s="17"/>
      <c r="P41" s="17"/>
      <c r="U41" s="23">
        <v>20</v>
      </c>
      <c r="W41" s="16">
        <f>-2.62-18.55-0.94-2.5-1.94-2.5-1.67-3.69-3.01+1.7+1.7+1+2.7+2.13+15.62</f>
        <v>-12.569999999999999</v>
      </c>
      <c r="Z41" s="17"/>
      <c r="AA41" s="17">
        <f t="shared" si="1"/>
        <v>1111.43</v>
      </c>
      <c r="AB41" s="19">
        <f t="shared" si="0"/>
        <v>0</v>
      </c>
    </row>
    <row r="42" spans="1:28" s="16" customFormat="1">
      <c r="A42" s="28">
        <v>44434</v>
      </c>
      <c r="B42" s="22" t="s">
        <v>28</v>
      </c>
      <c r="C42" s="22" t="s">
        <v>6</v>
      </c>
      <c r="D42" s="19">
        <v>1152.5</v>
      </c>
      <c r="E42" s="18"/>
      <c r="F42" s="17"/>
      <c r="G42" s="17">
        <f>540</f>
        <v>540</v>
      </c>
      <c r="J42" s="17">
        <f>230.63+223.45+194.75-5.63-5.45-4.75</f>
        <v>632.99999999999989</v>
      </c>
      <c r="K42" s="17"/>
      <c r="L42" s="17"/>
      <c r="N42" s="17"/>
      <c r="O42" s="17"/>
      <c r="P42" s="17"/>
      <c r="U42" s="23"/>
      <c r="W42" s="16">
        <f>-16.1-7.16-6.95-6.12+5.63+5.45+4.75</f>
        <v>-20.5</v>
      </c>
      <c r="Z42" s="17"/>
      <c r="AA42" s="17">
        <f t="shared" si="1"/>
        <v>1152.5</v>
      </c>
      <c r="AB42" s="19">
        <f t="shared" si="0"/>
        <v>0</v>
      </c>
    </row>
    <row r="43" spans="1:28" s="16" customFormat="1">
      <c r="A43" s="28">
        <v>44455</v>
      </c>
      <c r="B43" s="22" t="s">
        <v>31</v>
      </c>
      <c r="C43" s="22" t="s">
        <v>6</v>
      </c>
      <c r="D43" s="19">
        <v>3124</v>
      </c>
      <c r="E43" s="18"/>
      <c r="F43" s="17"/>
      <c r="G43" s="17">
        <v>300</v>
      </c>
      <c r="J43" s="17">
        <f>118+68+240+125+95+110+155+40+375+95+235+230+240+118+265+315</f>
        <v>2824</v>
      </c>
      <c r="K43" s="17"/>
      <c r="L43" s="17"/>
      <c r="N43" s="17"/>
      <c r="O43" s="17"/>
      <c r="P43" s="17"/>
      <c r="U43" s="23"/>
      <c r="Z43" s="17"/>
      <c r="AA43" s="17">
        <f t="shared" si="1"/>
        <v>3124</v>
      </c>
      <c r="AB43" s="19">
        <f t="shared" si="0"/>
        <v>0</v>
      </c>
    </row>
    <row r="44" spans="1:28" s="16" customFormat="1">
      <c r="A44" s="28">
        <v>44443</v>
      </c>
      <c r="B44" s="22" t="s">
        <v>28</v>
      </c>
      <c r="C44" s="22" t="s">
        <v>6</v>
      </c>
      <c r="D44" s="19">
        <v>1921.54</v>
      </c>
      <c r="E44" s="18" t="s">
        <v>36</v>
      </c>
      <c r="F44" s="17"/>
      <c r="G44" s="17">
        <v>643.75</v>
      </c>
      <c r="J44" s="17">
        <f>194.75+264.45+194.75+322.88+112.5+117.88+125-4.75-6.45-4.75-7.88-2.5-2.88</f>
        <v>1302.9999999999998</v>
      </c>
      <c r="K44" s="17"/>
      <c r="L44" s="17"/>
      <c r="N44" s="17"/>
      <c r="O44" s="17"/>
      <c r="P44" s="17"/>
      <c r="U44" s="23"/>
      <c r="W44" s="16">
        <f>-8.13-6.12-9.82-3.74-3.9-22.71+4.75+6.45+4.75+7.88+2.5+2.88</f>
        <v>-25.21</v>
      </c>
      <c r="Z44" s="17"/>
      <c r="AA44" s="17">
        <f t="shared" si="1"/>
        <v>1921.5399999999997</v>
      </c>
      <c r="AB44" s="19">
        <f t="shared" si="0"/>
        <v>0</v>
      </c>
    </row>
    <row r="45" spans="1:28" s="16" customFormat="1">
      <c r="A45" s="28">
        <v>44456</v>
      </c>
      <c r="B45" s="22" t="s">
        <v>28</v>
      </c>
      <c r="C45" s="22" t="s">
        <v>6</v>
      </c>
      <c r="D45" s="19">
        <v>564.66</v>
      </c>
      <c r="E45" s="18"/>
      <c r="F45" s="17"/>
      <c r="G45" s="17"/>
      <c r="J45" s="17">
        <f>69.7+300+40-1.7</f>
        <v>408</v>
      </c>
      <c r="K45" s="17"/>
      <c r="L45" s="17"/>
      <c r="M45" s="16">
        <v>40</v>
      </c>
      <c r="N45" s="17"/>
      <c r="O45" s="17"/>
      <c r="P45" s="17"/>
      <c r="U45" s="23">
        <v>119.11</v>
      </c>
      <c r="W45" s="16">
        <f>-2.5-1.65+1.7</f>
        <v>-2.4500000000000002</v>
      </c>
      <c r="Z45" s="17"/>
      <c r="AA45" s="17">
        <f t="shared" si="1"/>
        <v>564.66</v>
      </c>
      <c r="AB45" s="19">
        <f t="shared" si="0"/>
        <v>0</v>
      </c>
    </row>
    <row r="46" spans="1:28" s="16" customFormat="1">
      <c r="A46" s="28">
        <v>44461</v>
      </c>
      <c r="B46" s="22" t="s">
        <v>28</v>
      </c>
      <c r="C46" s="22" t="s">
        <v>6</v>
      </c>
      <c r="D46" s="19">
        <v>360.16</v>
      </c>
      <c r="E46" s="18"/>
      <c r="F46" s="17"/>
      <c r="G46" s="17"/>
      <c r="J46" s="17">
        <f>240+118</f>
        <v>358</v>
      </c>
      <c r="K46" s="17"/>
      <c r="L46" s="17"/>
      <c r="N46" s="17"/>
      <c r="O46" s="17"/>
      <c r="P46" s="17"/>
      <c r="U46" s="23"/>
      <c r="W46" s="16">
        <f>-10.84+13</f>
        <v>2.16</v>
      </c>
      <c r="Z46" s="17"/>
      <c r="AA46" s="17">
        <f t="shared" si="1"/>
        <v>360.16</v>
      </c>
      <c r="AB46" s="19">
        <f t="shared" si="0"/>
        <v>0</v>
      </c>
    </row>
    <row r="47" spans="1:28" s="16" customFormat="1">
      <c r="A47" s="28">
        <v>44474</v>
      </c>
      <c r="B47" s="22" t="s">
        <v>28</v>
      </c>
      <c r="C47" s="22" t="s">
        <v>6</v>
      </c>
      <c r="D47" s="19">
        <v>1080.42</v>
      </c>
      <c r="E47" s="18"/>
      <c r="F47" s="17"/>
      <c r="G47" s="17">
        <v>825</v>
      </c>
      <c r="J47" s="17">
        <v>295</v>
      </c>
      <c r="K47" s="17"/>
      <c r="L47" s="17"/>
      <c r="N47" s="17"/>
      <c r="O47" s="17"/>
      <c r="P47" s="17"/>
      <c r="U47" s="23"/>
      <c r="W47" s="16">
        <v>-39.58</v>
      </c>
      <c r="Z47" s="17"/>
      <c r="AA47" s="17">
        <f t="shared" si="1"/>
        <v>1080.42</v>
      </c>
      <c r="AB47" s="19">
        <f t="shared" si="0"/>
        <v>0</v>
      </c>
    </row>
    <row r="48" spans="1:28" s="16" customFormat="1">
      <c r="A48" s="28">
        <v>44477</v>
      </c>
      <c r="B48" s="22" t="s">
        <v>35</v>
      </c>
      <c r="C48" s="22" t="s">
        <v>6</v>
      </c>
      <c r="D48" s="19">
        <v>115</v>
      </c>
      <c r="E48" s="18"/>
      <c r="F48" s="17"/>
      <c r="G48" s="17"/>
      <c r="J48" s="17">
        <v>115</v>
      </c>
      <c r="K48" s="17"/>
      <c r="L48" s="17"/>
      <c r="N48" s="17"/>
      <c r="O48" s="17"/>
      <c r="P48" s="17"/>
      <c r="U48" s="23"/>
      <c r="Z48" s="17"/>
      <c r="AA48" s="17">
        <f t="shared" si="1"/>
        <v>115</v>
      </c>
      <c r="AB48" s="19">
        <f t="shared" si="0"/>
        <v>0</v>
      </c>
    </row>
    <row r="49" spans="1:44" s="16" customFormat="1">
      <c r="A49" s="28">
        <v>44477</v>
      </c>
      <c r="B49" s="22" t="s">
        <v>28</v>
      </c>
      <c r="C49" s="22" t="s">
        <v>6</v>
      </c>
      <c r="D49" s="19">
        <v>567.12</v>
      </c>
      <c r="E49" s="18"/>
      <c r="F49" s="17"/>
      <c r="G49" s="17">
        <v>220</v>
      </c>
      <c r="J49" s="17">
        <f>50+315</f>
        <v>365</v>
      </c>
      <c r="K49" s="17"/>
      <c r="L49" s="17"/>
      <c r="N49" s="17"/>
      <c r="O49" s="17"/>
      <c r="P49" s="17"/>
      <c r="U49" s="23"/>
      <c r="W49" s="16">
        <v>-17.88</v>
      </c>
      <c r="Z49" s="17"/>
      <c r="AA49" s="17">
        <f t="shared" si="1"/>
        <v>567.12</v>
      </c>
      <c r="AB49" s="19">
        <f t="shared" si="0"/>
        <v>0</v>
      </c>
    </row>
    <row r="50" spans="1:44" s="16" customFormat="1">
      <c r="A50" s="28">
        <v>44487</v>
      </c>
      <c r="B50" s="22" t="s">
        <v>37</v>
      </c>
      <c r="C50" s="22" t="s">
        <v>38</v>
      </c>
      <c r="D50" s="19">
        <v>194.15</v>
      </c>
      <c r="E50" s="18" t="s">
        <v>56</v>
      </c>
      <c r="F50" s="17"/>
      <c r="G50" s="17"/>
      <c r="J50" s="17"/>
      <c r="K50" s="17"/>
      <c r="L50" s="17"/>
      <c r="N50" s="17"/>
      <c r="O50" s="17"/>
      <c r="P50" s="17"/>
      <c r="T50" s="16">
        <v>194.15</v>
      </c>
      <c r="U50" s="23"/>
      <c r="Z50" s="17"/>
      <c r="AA50" s="17">
        <f t="shared" si="1"/>
        <v>194.15</v>
      </c>
      <c r="AB50" s="19">
        <f t="shared" si="0"/>
        <v>0</v>
      </c>
    </row>
    <row r="51" spans="1:44" s="16" customFormat="1">
      <c r="A51" s="28">
        <v>44476</v>
      </c>
      <c r="B51" s="22" t="s">
        <v>31</v>
      </c>
      <c r="C51" s="22" t="s">
        <v>6</v>
      </c>
      <c r="D51" s="19">
        <v>1030</v>
      </c>
      <c r="E51" s="18"/>
      <c r="F51" s="17"/>
      <c r="G51" s="17">
        <v>625</v>
      </c>
      <c r="J51" s="17">
        <f>183+75+85</f>
        <v>343</v>
      </c>
      <c r="K51" s="17">
        <v>42</v>
      </c>
      <c r="L51" s="17">
        <v>20</v>
      </c>
      <c r="N51" s="17"/>
      <c r="O51" s="17"/>
      <c r="P51" s="17"/>
      <c r="U51" s="23"/>
      <c r="Z51" s="17"/>
      <c r="AA51" s="17">
        <f t="shared" si="1"/>
        <v>1030</v>
      </c>
      <c r="AB51" s="19">
        <f t="shared" si="0"/>
        <v>0</v>
      </c>
    </row>
    <row r="52" spans="1:44">
      <c r="A52" s="1">
        <v>44501</v>
      </c>
      <c r="B52" s="2" t="s">
        <v>39</v>
      </c>
      <c r="C52" s="2" t="s">
        <v>40</v>
      </c>
      <c r="D52" s="3">
        <v>1679.75</v>
      </c>
      <c r="E52" s="4" t="s">
        <v>41</v>
      </c>
      <c r="I52">
        <v>80</v>
      </c>
      <c r="J52" s="5">
        <v>68</v>
      </c>
      <c r="K52" s="5">
        <f>1292.5+331.75-209.5</f>
        <v>1414.75</v>
      </c>
      <c r="S52">
        <v>209.5</v>
      </c>
      <c r="V52">
        <v>1200</v>
      </c>
      <c r="AA52" s="5">
        <f t="shared" si="1"/>
        <v>2972.25</v>
      </c>
      <c r="AB52" s="3">
        <f t="shared" si="0"/>
        <v>-1292.5</v>
      </c>
      <c r="AC52" s="16" t="s">
        <v>42</v>
      </c>
    </row>
    <row r="53" spans="1:44">
      <c r="A53" s="1">
        <v>44501</v>
      </c>
      <c r="B53" s="2" t="s">
        <v>39</v>
      </c>
      <c r="C53" s="2" t="s">
        <v>40</v>
      </c>
      <c r="D53" s="3">
        <v>2468.3000000000002</v>
      </c>
      <c r="E53" s="4" t="s">
        <v>41</v>
      </c>
      <c r="K53" s="5">
        <f>124.75+68.8+40+120</f>
        <v>353.55</v>
      </c>
      <c r="N53" s="5">
        <v>60</v>
      </c>
      <c r="O53" s="5">
        <v>475</v>
      </c>
      <c r="P53" s="5">
        <v>287.25</v>
      </c>
      <c r="AA53" s="5">
        <f t="shared" si="1"/>
        <v>1175.8</v>
      </c>
      <c r="AB53" s="3">
        <f t="shared" si="0"/>
        <v>1292.5000000000002</v>
      </c>
      <c r="AC53" s="16" t="s">
        <v>42</v>
      </c>
    </row>
    <row r="54" spans="1:44">
      <c r="A54" s="1">
        <v>44508</v>
      </c>
      <c r="B54" s="2" t="s">
        <v>35</v>
      </c>
      <c r="C54" s="2" t="s">
        <v>6</v>
      </c>
      <c r="D54" s="3">
        <v>515.75</v>
      </c>
      <c r="K54" s="17">
        <f>35+20+144.75</f>
        <v>199.75</v>
      </c>
      <c r="N54" s="5">
        <v>150</v>
      </c>
      <c r="O54" s="5">
        <f>55+75+20</f>
        <v>150</v>
      </c>
      <c r="P54" s="5">
        <v>16</v>
      </c>
      <c r="AA54" s="5">
        <f t="shared" si="1"/>
        <v>515.75</v>
      </c>
      <c r="AB54" s="19">
        <f t="shared" si="0"/>
        <v>0</v>
      </c>
      <c r="AC54" s="16"/>
      <c r="AD54" s="16"/>
    </row>
    <row r="55" spans="1:44">
      <c r="A55" s="1">
        <v>44132</v>
      </c>
      <c r="B55" s="2" t="s">
        <v>43</v>
      </c>
      <c r="C55" s="2" t="s">
        <v>44</v>
      </c>
      <c r="D55" s="3">
        <v>-52</v>
      </c>
      <c r="E55" s="4" t="s">
        <v>45</v>
      </c>
      <c r="K55" s="5">
        <v>-42</v>
      </c>
      <c r="L55" s="5">
        <v>-10</v>
      </c>
      <c r="AA55" s="5">
        <f t="shared" si="1"/>
        <v>-52</v>
      </c>
      <c r="AB55" s="3">
        <f t="shared" si="0"/>
        <v>0</v>
      </c>
    </row>
    <row r="56" spans="1:44">
      <c r="A56" s="1">
        <v>44113</v>
      </c>
      <c r="B56" s="2" t="s">
        <v>43</v>
      </c>
      <c r="C56" s="2" t="s">
        <v>44</v>
      </c>
      <c r="D56" s="3">
        <v>-635</v>
      </c>
      <c r="E56" s="4" t="s">
        <v>45</v>
      </c>
      <c r="G56" s="5">
        <v>-625</v>
      </c>
      <c r="L56" s="5">
        <v>-10</v>
      </c>
      <c r="AA56" s="5">
        <f t="shared" si="1"/>
        <v>-635</v>
      </c>
      <c r="AB56" s="3">
        <f t="shared" si="0"/>
        <v>0</v>
      </c>
    </row>
    <row r="57" spans="1:44">
      <c r="A57" s="1">
        <v>44435</v>
      </c>
      <c r="B57" s="2" t="s">
        <v>35</v>
      </c>
      <c r="C57" s="2" t="s">
        <v>70</v>
      </c>
      <c r="D57" s="3">
        <v>-40</v>
      </c>
      <c r="M57">
        <v>-40</v>
      </c>
      <c r="AA57" s="5">
        <f t="shared" ref="AA57" si="2">SUM(G57:Z57)</f>
        <v>-40</v>
      </c>
      <c r="AB57" s="3">
        <f t="shared" si="0"/>
        <v>0</v>
      </c>
    </row>
    <row r="58" spans="1:44">
      <c r="AA58" s="5"/>
      <c r="AB58" s="3"/>
    </row>
    <row r="59" spans="1:44">
      <c r="C59" s="2" t="s">
        <v>69</v>
      </c>
      <c r="D59" s="5">
        <f>SUM(D4:D58)</f>
        <v>90821.309999999983</v>
      </c>
      <c r="F59" s="5">
        <f>SUM(F4:F58)</f>
        <v>0</v>
      </c>
      <c r="G59" s="5">
        <f t="shared" ref="G59:AR59" si="3">SUM(G4:G58)</f>
        <v>57738.25</v>
      </c>
      <c r="H59" s="5">
        <f t="shared" si="3"/>
        <v>0</v>
      </c>
      <c r="I59" s="5">
        <f t="shared" si="3"/>
        <v>80</v>
      </c>
      <c r="J59" s="5">
        <f t="shared" si="3"/>
        <v>14633</v>
      </c>
      <c r="K59" s="5">
        <f t="shared" si="3"/>
        <v>3282.02</v>
      </c>
      <c r="L59" s="5">
        <f t="shared" si="3"/>
        <v>0</v>
      </c>
      <c r="M59" s="5">
        <f t="shared" si="3"/>
        <v>0.49000000000000199</v>
      </c>
      <c r="N59" s="5">
        <f t="shared" si="3"/>
        <v>237.5</v>
      </c>
      <c r="O59" s="5">
        <f t="shared" si="3"/>
        <v>625</v>
      </c>
      <c r="P59" s="5">
        <f t="shared" si="3"/>
        <v>303.25</v>
      </c>
      <c r="Q59" s="5">
        <f t="shared" si="3"/>
        <v>0</v>
      </c>
      <c r="R59" s="5">
        <f t="shared" si="3"/>
        <v>0</v>
      </c>
      <c r="S59" s="5">
        <f t="shared" si="3"/>
        <v>209.5</v>
      </c>
      <c r="T59" s="5">
        <f t="shared" si="3"/>
        <v>194.15</v>
      </c>
      <c r="U59" s="5">
        <f t="shared" si="3"/>
        <v>341.61</v>
      </c>
      <c r="V59" s="5">
        <f t="shared" si="3"/>
        <v>1200</v>
      </c>
      <c r="W59" s="5">
        <f t="shared" si="3"/>
        <v>-330.2399999999999</v>
      </c>
      <c r="X59" s="5">
        <f t="shared" si="3"/>
        <v>0</v>
      </c>
      <c r="Y59" s="5">
        <f t="shared" si="3"/>
        <v>10000</v>
      </c>
      <c r="Z59" s="5">
        <f t="shared" si="3"/>
        <v>2306.7800000000002</v>
      </c>
      <c r="AA59" s="5">
        <f t="shared" si="3"/>
        <v>90821.309999999983</v>
      </c>
      <c r="AB59" s="5">
        <f t="shared" si="3"/>
        <v>2.2737367544323206E-13</v>
      </c>
      <c r="AC59" s="5">
        <f t="shared" si="3"/>
        <v>0</v>
      </c>
      <c r="AD59" s="5">
        <f t="shared" si="3"/>
        <v>0</v>
      </c>
      <c r="AE59" s="5">
        <f t="shared" si="3"/>
        <v>0</v>
      </c>
      <c r="AF59" s="5">
        <f t="shared" si="3"/>
        <v>0</v>
      </c>
      <c r="AG59" s="5">
        <f t="shared" si="3"/>
        <v>0</v>
      </c>
      <c r="AH59" s="5">
        <f t="shared" si="3"/>
        <v>0</v>
      </c>
      <c r="AI59" s="5">
        <f t="shared" si="3"/>
        <v>0</v>
      </c>
      <c r="AJ59" s="5">
        <f t="shared" si="3"/>
        <v>0</v>
      </c>
      <c r="AK59" s="5">
        <f t="shared" si="3"/>
        <v>0</v>
      </c>
      <c r="AL59" s="5">
        <f t="shared" si="3"/>
        <v>0</v>
      </c>
      <c r="AM59" s="5">
        <f t="shared" si="3"/>
        <v>0</v>
      </c>
      <c r="AN59" s="5">
        <f t="shared" si="3"/>
        <v>0</v>
      </c>
      <c r="AO59" s="5">
        <f t="shared" si="3"/>
        <v>0</v>
      </c>
      <c r="AP59" s="5">
        <f t="shared" si="3"/>
        <v>0</v>
      </c>
      <c r="AQ59" s="5">
        <f t="shared" si="3"/>
        <v>0</v>
      </c>
      <c r="AR59" s="5">
        <f t="shared" si="3"/>
        <v>0</v>
      </c>
    </row>
    <row r="60" spans="1:44">
      <c r="A60" s="20" t="s">
        <v>46</v>
      </c>
      <c r="E60" s="27">
        <f>SUM(F59:Z59)</f>
        <v>90821.31</v>
      </c>
      <c r="AA60" s="5"/>
      <c r="AB60" s="3"/>
    </row>
    <row r="61" spans="1:44">
      <c r="AA61" s="5"/>
      <c r="AB61" s="3"/>
    </row>
    <row r="62" spans="1:44">
      <c r="A62" s="1">
        <v>44481</v>
      </c>
      <c r="B62" s="2" t="s">
        <v>22</v>
      </c>
      <c r="C62" s="2" t="s">
        <v>47</v>
      </c>
      <c r="D62" s="3">
        <v>38.35</v>
      </c>
      <c r="E62" s="4" t="s">
        <v>48</v>
      </c>
      <c r="I62">
        <v>40</v>
      </c>
      <c r="W62">
        <v>-1.65</v>
      </c>
      <c r="AA62" s="5">
        <f t="shared" si="1"/>
        <v>38.35</v>
      </c>
      <c r="AB62" s="3">
        <f t="shared" si="0"/>
        <v>0</v>
      </c>
    </row>
    <row r="63" spans="1:44">
      <c r="C63" s="2" t="s">
        <v>69</v>
      </c>
      <c r="D63" s="3">
        <f>SUM(D59:D62)</f>
        <v>90859.659999999989</v>
      </c>
      <c r="F63" s="5">
        <f>SUM(F59:F62)</f>
        <v>0</v>
      </c>
      <c r="G63" s="5">
        <f>SUM(G59:G62)</f>
        <v>57738.25</v>
      </c>
      <c r="H63" s="5">
        <f>SUM(H59:H62)</f>
        <v>0</v>
      </c>
      <c r="I63" s="5">
        <f>SUM(I59:I62)</f>
        <v>120</v>
      </c>
      <c r="J63" s="5">
        <f>SUM(J59:J62)</f>
        <v>14633</v>
      </c>
      <c r="K63" s="5">
        <f>SUM(K59:K62)</f>
        <v>3282.02</v>
      </c>
      <c r="L63" s="5">
        <f>SUM(L59:L62)</f>
        <v>0</v>
      </c>
      <c r="M63" s="5">
        <f>SUM(M59:M62)</f>
        <v>0.49000000000000199</v>
      </c>
      <c r="N63" s="5">
        <f>SUM(N59:N62)</f>
        <v>237.5</v>
      </c>
      <c r="O63" s="5">
        <f>SUM(O59:O62)</f>
        <v>625</v>
      </c>
      <c r="P63" s="5">
        <f>SUM(P59:P62)</f>
        <v>303.25</v>
      </c>
      <c r="Q63" s="5">
        <f>SUM(Q59:Q62)</f>
        <v>0</v>
      </c>
      <c r="R63" s="5">
        <f>SUM(R59:R62)</f>
        <v>0</v>
      </c>
      <c r="S63" s="5">
        <f>SUM(S59:S62)</f>
        <v>209.5</v>
      </c>
      <c r="T63" s="5">
        <f>SUM(T59:T62)</f>
        <v>194.15</v>
      </c>
      <c r="U63" s="5">
        <f>SUM(U59:U62)</f>
        <v>341.61</v>
      </c>
      <c r="V63" s="5">
        <f>SUM(V59:V62)</f>
        <v>1200</v>
      </c>
      <c r="W63" s="5">
        <f>SUM(W59:W62)</f>
        <v>-331.88999999999987</v>
      </c>
      <c r="X63" s="5">
        <f>SUM(X59:X62)</f>
        <v>0</v>
      </c>
      <c r="Y63" s="5">
        <f>SUM(Y59:Y62)</f>
        <v>10000</v>
      </c>
      <c r="Z63" s="5">
        <f>SUM(Z59:Z62)</f>
        <v>2306.7800000000002</v>
      </c>
      <c r="AA63" s="3">
        <f>SUM(AA59:AA62)</f>
        <v>90859.659999999989</v>
      </c>
      <c r="AB63" s="3"/>
    </row>
    <row r="64" spans="1:44">
      <c r="E64" s="27">
        <f>SUM(F63:Z63)</f>
        <v>90859.66</v>
      </c>
    </row>
    <row r="65" spans="1:27">
      <c r="A65" s="20" t="s">
        <v>55</v>
      </c>
    </row>
    <row r="66" spans="1:27">
      <c r="A66" s="20"/>
      <c r="B66" s="25" t="s">
        <v>64</v>
      </c>
      <c r="G66" s="5">
        <v>-550</v>
      </c>
      <c r="H66">
        <v>550</v>
      </c>
      <c r="AA66" s="5">
        <f t="shared" ref="AA66:AA85" si="4">SUM(G66:Z66)</f>
        <v>0</v>
      </c>
    </row>
    <row r="67" spans="1:27">
      <c r="A67" s="20"/>
      <c r="B67" s="25" t="s">
        <v>62</v>
      </c>
      <c r="G67" s="5">
        <v>-160</v>
      </c>
      <c r="I67">
        <v>160</v>
      </c>
      <c r="AA67" s="5">
        <f t="shared" si="4"/>
        <v>0</v>
      </c>
    </row>
    <row r="68" spans="1:27">
      <c r="A68" s="20"/>
      <c r="B68" s="25" t="s">
        <v>63</v>
      </c>
      <c r="G68" s="5">
        <v>-450</v>
      </c>
      <c r="Q68">
        <v>450</v>
      </c>
      <c r="AA68" s="5">
        <f t="shared" si="4"/>
        <v>0</v>
      </c>
    </row>
    <row r="69" spans="1:27">
      <c r="A69" s="20"/>
      <c r="B69" s="25" t="s">
        <v>71</v>
      </c>
      <c r="AA69" s="5">
        <f t="shared" si="4"/>
        <v>0</v>
      </c>
    </row>
    <row r="70" spans="1:27">
      <c r="A70" s="20"/>
      <c r="AA70" s="5"/>
    </row>
    <row r="71" spans="1:27">
      <c r="A71" s="20" t="s">
        <v>57</v>
      </c>
      <c r="AA71" s="5">
        <f t="shared" si="4"/>
        <v>0</v>
      </c>
    </row>
    <row r="72" spans="1:27">
      <c r="A72" s="20"/>
      <c r="B72" s="25" t="s">
        <v>66</v>
      </c>
      <c r="D72" s="3">
        <v>120</v>
      </c>
      <c r="I72">
        <v>120</v>
      </c>
      <c r="AA72" s="5">
        <f t="shared" si="4"/>
        <v>120</v>
      </c>
    </row>
    <row r="73" spans="1:27">
      <c r="A73" s="20"/>
      <c r="B73" s="25" t="s">
        <v>67</v>
      </c>
      <c r="D73" s="3">
        <v>-5151</v>
      </c>
      <c r="G73" s="5">
        <v>-5008</v>
      </c>
      <c r="J73" s="5">
        <v>-143</v>
      </c>
      <c r="AA73" s="5">
        <f t="shared" si="4"/>
        <v>-5151</v>
      </c>
    </row>
    <row r="74" spans="1:27">
      <c r="A74" s="20"/>
      <c r="B74" s="25" t="s">
        <v>68</v>
      </c>
      <c r="D74" s="3">
        <v>-0.49</v>
      </c>
      <c r="M74">
        <v>-0.49</v>
      </c>
      <c r="AA74" s="5">
        <f t="shared" si="4"/>
        <v>-0.49</v>
      </c>
    </row>
    <row r="75" spans="1:27">
      <c r="A75" s="20"/>
      <c r="B75" s="25"/>
      <c r="AA75" s="5">
        <f t="shared" si="4"/>
        <v>0</v>
      </c>
    </row>
    <row r="76" spans="1:27">
      <c r="A76" s="20"/>
      <c r="B76" s="25"/>
      <c r="AA76" s="5"/>
    </row>
    <row r="77" spans="1:27">
      <c r="A77" s="20" t="s">
        <v>58</v>
      </c>
      <c r="B77" s="25"/>
      <c r="AA77" s="5">
        <f t="shared" si="4"/>
        <v>0</v>
      </c>
    </row>
    <row r="78" spans="1:27">
      <c r="A78" s="20"/>
      <c r="B78" s="25" t="s">
        <v>65</v>
      </c>
      <c r="D78" s="3">
        <v>-1200</v>
      </c>
      <c r="V78">
        <v>-1200</v>
      </c>
      <c r="AA78" s="5">
        <f t="shared" si="4"/>
        <v>-1200</v>
      </c>
    </row>
    <row r="79" spans="1:27">
      <c r="A79" s="20"/>
      <c r="B79" s="25" t="s">
        <v>59</v>
      </c>
      <c r="D79" s="3">
        <v>331.89</v>
      </c>
      <c r="W79">
        <v>331.89</v>
      </c>
      <c r="AA79" s="5">
        <f t="shared" si="4"/>
        <v>331.89</v>
      </c>
    </row>
    <row r="80" spans="1:27">
      <c r="A80" s="20"/>
      <c r="B80" s="25" t="s">
        <v>60</v>
      </c>
      <c r="D80" s="3">
        <v>-194.15</v>
      </c>
      <c r="T80">
        <v>-194.15</v>
      </c>
      <c r="AA80" s="5">
        <f t="shared" si="4"/>
        <v>-194.15</v>
      </c>
    </row>
    <row r="81" spans="1:44">
      <c r="A81" s="20"/>
      <c r="B81" s="25" t="s">
        <v>61</v>
      </c>
      <c r="D81" s="3">
        <v>-341.61</v>
      </c>
      <c r="U81" s="7">
        <v>-341.61</v>
      </c>
      <c r="Z81" s="3"/>
      <c r="AA81" s="5">
        <f t="shared" si="4"/>
        <v>-341.61</v>
      </c>
    </row>
    <row r="82" spans="1:44">
      <c r="A82" s="20"/>
      <c r="B82" s="25"/>
      <c r="AA82" s="5">
        <f t="shared" si="4"/>
        <v>0</v>
      </c>
    </row>
    <row r="83" spans="1:44">
      <c r="A83" s="20" t="s">
        <v>83</v>
      </c>
      <c r="B83" s="25"/>
      <c r="D83" s="3">
        <v>-10000</v>
      </c>
      <c r="Y83">
        <v>-10000</v>
      </c>
      <c r="AA83" s="5">
        <f t="shared" si="4"/>
        <v>-10000</v>
      </c>
    </row>
    <row r="84" spans="1:44">
      <c r="A84" s="20"/>
      <c r="B84" s="25"/>
      <c r="D84" s="3">
        <v>-2306.7800000000002</v>
      </c>
      <c r="Z84" s="5">
        <v>-2306.7800000000002</v>
      </c>
      <c r="AA84" s="5">
        <f t="shared" si="4"/>
        <v>-2306.7800000000002</v>
      </c>
    </row>
    <row r="85" spans="1:44">
      <c r="A85" s="20"/>
      <c r="B85" s="25"/>
      <c r="D85" s="3">
        <v>-209.5</v>
      </c>
      <c r="S85">
        <v>-209.5</v>
      </c>
      <c r="AA85" s="5">
        <f t="shared" si="4"/>
        <v>-209.5</v>
      </c>
    </row>
    <row r="86" spans="1:44">
      <c r="A86" s="20"/>
      <c r="B86" s="25"/>
    </row>
    <row r="87" spans="1:44">
      <c r="B87" s="25"/>
      <c r="D87" s="3">
        <f>SUM(D63:D85)</f>
        <v>71908.01999999999</v>
      </c>
      <c r="E87" s="4" t="s">
        <v>53</v>
      </c>
      <c r="F87" s="3">
        <f>SUM(F63:F85)</f>
        <v>0</v>
      </c>
      <c r="G87" s="3">
        <f t="shared" ref="G87:Z87" si="5">SUM(G63:G85)</f>
        <v>51570.25</v>
      </c>
      <c r="H87" s="3">
        <f t="shared" si="5"/>
        <v>550</v>
      </c>
      <c r="I87" s="3">
        <f t="shared" si="5"/>
        <v>400</v>
      </c>
      <c r="J87" s="3">
        <f t="shared" si="5"/>
        <v>14490</v>
      </c>
      <c r="K87" s="3">
        <f t="shared" si="5"/>
        <v>3282.02</v>
      </c>
      <c r="L87" s="3">
        <f t="shared" si="5"/>
        <v>0</v>
      </c>
      <c r="M87" s="3">
        <f t="shared" si="5"/>
        <v>1.9984014443252818E-15</v>
      </c>
      <c r="N87" s="3">
        <f t="shared" si="5"/>
        <v>237.5</v>
      </c>
      <c r="O87" s="3">
        <f t="shared" si="5"/>
        <v>625</v>
      </c>
      <c r="P87" s="3">
        <f t="shared" si="5"/>
        <v>303.25</v>
      </c>
      <c r="Q87" s="3">
        <f t="shared" si="5"/>
        <v>450</v>
      </c>
      <c r="R87" s="3">
        <f t="shared" si="5"/>
        <v>0</v>
      </c>
      <c r="S87" s="3">
        <f t="shared" si="5"/>
        <v>0</v>
      </c>
      <c r="T87" s="3">
        <f t="shared" si="5"/>
        <v>0</v>
      </c>
      <c r="U87" s="3">
        <f t="shared" si="5"/>
        <v>0</v>
      </c>
      <c r="V87" s="3">
        <f t="shared" si="5"/>
        <v>0</v>
      </c>
      <c r="W87" s="3">
        <f t="shared" si="5"/>
        <v>0</v>
      </c>
      <c r="X87" s="3">
        <f t="shared" si="5"/>
        <v>0</v>
      </c>
      <c r="Y87" s="3">
        <f t="shared" si="5"/>
        <v>0</v>
      </c>
      <c r="Z87" s="3">
        <f t="shared" si="5"/>
        <v>0</v>
      </c>
      <c r="AA87" s="3">
        <f>SUM(AA63:AA85)</f>
        <v>71908.01999999999</v>
      </c>
      <c r="AB87" s="3">
        <f>SUM(AB59:AB82)</f>
        <v>2.2737367544323206E-13</v>
      </c>
    </row>
    <row r="88" spans="1:44">
      <c r="B88" s="25"/>
      <c r="E88" s="27">
        <f>SUM(F87:Z87)</f>
        <v>71908.02</v>
      </c>
    </row>
    <row r="89" spans="1:44">
      <c r="B89" s="25"/>
      <c r="D89" s="3">
        <f>D87-AA87</f>
        <v>0</v>
      </c>
      <c r="O89" s="3"/>
    </row>
    <row r="90" spans="1:44">
      <c r="B90" s="25"/>
      <c r="C90" s="4" t="s">
        <v>54</v>
      </c>
      <c r="P90" s="3"/>
    </row>
    <row r="91" spans="1:44">
      <c r="B91" s="26"/>
      <c r="C91" s="22"/>
      <c r="D91" s="19"/>
      <c r="E91" s="18"/>
      <c r="F91" s="17"/>
      <c r="G91" s="17"/>
      <c r="H91" s="16"/>
      <c r="I91" s="16"/>
      <c r="J91" s="17"/>
      <c r="K91" s="17"/>
      <c r="L91" s="17"/>
      <c r="M91" s="16"/>
      <c r="N91" s="17"/>
      <c r="O91" s="17"/>
      <c r="P91" s="17"/>
      <c r="Q91" s="16"/>
      <c r="R91" s="16"/>
      <c r="S91" s="16"/>
      <c r="T91" s="16"/>
      <c r="U91" s="23"/>
      <c r="V91" s="16"/>
      <c r="W91" s="16"/>
      <c r="X91" s="16"/>
      <c r="Y91" s="16"/>
      <c r="Z91" s="17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</row>
    <row r="92" spans="1:44">
      <c r="B92" s="22"/>
      <c r="C92" s="22"/>
      <c r="D92" s="19"/>
      <c r="E92" s="18"/>
      <c r="F92" s="17"/>
      <c r="G92" s="17"/>
      <c r="H92" s="16"/>
      <c r="I92" s="16"/>
      <c r="J92" s="17"/>
      <c r="K92" s="17"/>
      <c r="L92" s="17"/>
      <c r="M92" s="16"/>
      <c r="N92" s="17"/>
      <c r="O92" s="17"/>
      <c r="P92" s="17"/>
      <c r="Q92" s="16"/>
      <c r="R92" s="16"/>
      <c r="S92" s="16"/>
      <c r="T92" s="16"/>
      <c r="U92" s="23"/>
      <c r="V92" s="16"/>
      <c r="W92" s="16"/>
      <c r="X92" s="16"/>
      <c r="Y92" s="16"/>
      <c r="Z92" s="17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</row>
    <row r="93" spans="1:44">
      <c r="B93" s="22"/>
      <c r="C93" s="22"/>
      <c r="D93" s="19"/>
      <c r="E93" s="18"/>
      <c r="F93" s="17"/>
      <c r="G93" s="17"/>
      <c r="H93" s="16"/>
      <c r="I93" s="17"/>
      <c r="J93" s="17"/>
      <c r="K93" s="17"/>
      <c r="L93" s="17"/>
      <c r="M93" s="16"/>
      <c r="N93" s="17"/>
      <c r="O93" s="17"/>
      <c r="P93" s="17"/>
      <c r="Q93" s="16"/>
      <c r="R93" s="17"/>
      <c r="S93" s="17"/>
      <c r="T93" s="16"/>
      <c r="U93" s="23"/>
      <c r="V93" s="17"/>
      <c r="W93" s="16"/>
      <c r="X93" s="16"/>
      <c r="Y93" s="16"/>
      <c r="Z93" s="17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</row>
    <row r="94" spans="1:44">
      <c r="B94" s="22"/>
      <c r="C94" s="22"/>
      <c r="D94" s="19"/>
      <c r="E94" s="18"/>
      <c r="F94" s="17"/>
      <c r="G94" s="17"/>
      <c r="H94" s="16"/>
      <c r="I94" s="16"/>
      <c r="J94" s="17"/>
      <c r="K94" s="17"/>
      <c r="L94" s="17"/>
      <c r="M94" s="16"/>
      <c r="N94" s="17"/>
      <c r="O94" s="17"/>
      <c r="P94" s="17"/>
      <c r="Q94" s="16"/>
      <c r="R94" s="16"/>
      <c r="S94" s="16"/>
      <c r="T94" s="16"/>
      <c r="U94" s="23"/>
      <c r="V94" s="16"/>
      <c r="W94" s="16"/>
      <c r="X94" s="16"/>
      <c r="Y94" s="16"/>
      <c r="Z94" s="17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</row>
    <row r="95" spans="1:44">
      <c r="B95" s="22"/>
      <c r="C95" s="22"/>
      <c r="D95" s="19"/>
      <c r="E95" s="18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6"/>
      <c r="X95" s="16"/>
      <c r="Y95" s="16"/>
      <c r="Z95" s="17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</row>
    <row r="96" spans="1:44">
      <c r="B96" s="22"/>
      <c r="C96" s="22"/>
      <c r="D96" s="19"/>
      <c r="E96" s="18"/>
      <c r="F96" s="17"/>
      <c r="G96" s="17"/>
      <c r="H96" s="16"/>
      <c r="I96" s="16"/>
      <c r="J96" s="17"/>
      <c r="K96" s="17"/>
      <c r="L96" s="17"/>
      <c r="M96" s="16"/>
      <c r="N96" s="17"/>
      <c r="O96" s="17"/>
      <c r="P96" s="17"/>
      <c r="Q96" s="16"/>
      <c r="R96" s="16"/>
      <c r="S96" s="16"/>
      <c r="T96" s="16"/>
      <c r="U96" s="23"/>
      <c r="V96" s="16"/>
      <c r="W96" s="16"/>
      <c r="X96" s="16"/>
      <c r="Y96" s="16"/>
      <c r="Z96" s="17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</row>
    <row r="97" spans="2:44">
      <c r="B97" s="22"/>
      <c r="C97" s="22"/>
      <c r="D97" s="19"/>
      <c r="E97" s="18"/>
      <c r="F97" s="17"/>
      <c r="G97" s="17"/>
      <c r="H97" s="16"/>
      <c r="I97" s="16"/>
      <c r="J97" s="17"/>
      <c r="K97" s="17"/>
      <c r="L97" s="17"/>
      <c r="M97" s="16"/>
      <c r="N97" s="17"/>
      <c r="O97" s="17"/>
      <c r="P97" s="17"/>
      <c r="Q97" s="16"/>
      <c r="R97" s="16"/>
      <c r="S97" s="16"/>
      <c r="T97" s="16"/>
      <c r="U97" s="23"/>
      <c r="V97" s="16"/>
      <c r="W97" s="16"/>
      <c r="X97" s="16"/>
      <c r="Y97" s="16"/>
      <c r="Z97" s="17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</row>
    <row r="98" spans="2:44">
      <c r="B98" s="22"/>
      <c r="C98" s="22"/>
      <c r="D98" s="19"/>
      <c r="E98" s="18"/>
      <c r="F98" s="17"/>
      <c r="G98" s="17"/>
      <c r="H98" s="16"/>
      <c r="I98" s="16"/>
      <c r="J98" s="17"/>
      <c r="K98" s="17"/>
      <c r="L98" s="17"/>
      <c r="M98" s="16"/>
      <c r="N98" s="17"/>
      <c r="O98" s="17"/>
      <c r="P98" s="17"/>
      <c r="Q98" s="16"/>
      <c r="R98" s="16"/>
      <c r="S98" s="16"/>
      <c r="T98" s="16"/>
      <c r="U98" s="23"/>
      <c r="V98" s="16"/>
      <c r="W98" s="16"/>
      <c r="X98" s="16"/>
      <c r="Y98" s="16"/>
      <c r="Z98" s="17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</row>
    <row r="99" spans="2:44">
      <c r="B99" s="22"/>
      <c r="C99" s="22"/>
      <c r="D99" s="19"/>
      <c r="E99" s="18"/>
      <c r="F99" s="17"/>
      <c r="G99" s="17"/>
      <c r="H99" s="16"/>
      <c r="I99" s="16"/>
      <c r="J99" s="17"/>
      <c r="K99" s="17"/>
      <c r="L99" s="17"/>
      <c r="M99" s="16"/>
      <c r="N99" s="17"/>
      <c r="O99" s="17"/>
      <c r="P99" s="17"/>
      <c r="Q99" s="16"/>
      <c r="R99" s="16"/>
      <c r="S99" s="16"/>
      <c r="T99" s="16"/>
      <c r="U99" s="23"/>
      <c r="V99" s="16"/>
      <c r="W99" s="16"/>
      <c r="X99" s="16"/>
      <c r="Y99" s="16"/>
      <c r="Z99" s="17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</row>
    <row r="100" spans="2:44">
      <c r="B100" s="22"/>
      <c r="C100" s="22"/>
      <c r="D100" s="19"/>
      <c r="E100" s="18"/>
      <c r="F100" s="17"/>
      <c r="G100" s="17"/>
      <c r="H100" s="16"/>
      <c r="I100" s="16"/>
      <c r="J100" s="17"/>
      <c r="K100" s="17"/>
      <c r="L100" s="17"/>
      <c r="M100" s="16"/>
      <c r="N100" s="17"/>
      <c r="O100" s="17"/>
      <c r="P100" s="17"/>
      <c r="Q100" s="16"/>
      <c r="R100" s="16"/>
      <c r="S100" s="16"/>
      <c r="T100" s="16"/>
      <c r="U100" s="23"/>
      <c r="V100" s="16"/>
      <c r="W100" s="16"/>
      <c r="X100" s="16"/>
      <c r="Y100" s="16"/>
      <c r="Z100" s="17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</row>
    <row r="101" spans="2:44">
      <c r="B101" s="22"/>
      <c r="C101" s="22"/>
      <c r="D101" s="19"/>
      <c r="E101" s="18"/>
      <c r="F101" s="17"/>
      <c r="G101" s="17"/>
      <c r="H101" s="16"/>
      <c r="I101" s="16"/>
      <c r="J101" s="17"/>
      <c r="K101" s="17">
        <v>10066</v>
      </c>
      <c r="L101" s="17">
        <v>786</v>
      </c>
      <c r="M101" s="16">
        <v>3781</v>
      </c>
      <c r="N101" s="17"/>
      <c r="O101" s="17"/>
      <c r="P101" s="17"/>
      <c r="Q101" s="16"/>
      <c r="R101" s="16"/>
      <c r="S101" s="16"/>
      <c r="T101" s="16"/>
      <c r="U101" s="23"/>
      <c r="V101" s="16"/>
      <c r="W101" s="16"/>
      <c r="X101" s="16"/>
      <c r="Y101" s="16"/>
      <c r="Z101" s="24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</row>
    <row r="102" spans="2:44">
      <c r="B102" s="22"/>
      <c r="C102" s="22"/>
      <c r="D102" s="19"/>
      <c r="E102" s="18"/>
      <c r="F102" s="17"/>
      <c r="G102" s="17"/>
      <c r="H102" s="16"/>
      <c r="I102" s="16"/>
      <c r="J102" s="17"/>
      <c r="K102" s="17"/>
      <c r="L102" s="17"/>
      <c r="M102" s="16"/>
      <c r="N102" s="17"/>
      <c r="O102" s="17"/>
      <c r="P102" s="17"/>
      <c r="Q102" s="16"/>
      <c r="R102" s="16"/>
      <c r="S102" s="16"/>
      <c r="T102" s="16"/>
      <c r="U102" s="23"/>
      <c r="V102" s="16"/>
      <c r="W102" s="16"/>
      <c r="X102" s="16"/>
      <c r="Y102" s="16"/>
      <c r="Z102" s="17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</row>
    <row r="103" spans="2:44">
      <c r="B103" s="22"/>
      <c r="C103" s="22"/>
      <c r="D103" s="19"/>
      <c r="E103" s="18"/>
      <c r="F103" s="17"/>
      <c r="G103" s="17"/>
      <c r="H103" s="16"/>
      <c r="I103" s="16"/>
      <c r="J103" s="17"/>
      <c r="K103" s="17"/>
      <c r="L103" s="17"/>
      <c r="M103" s="16"/>
      <c r="N103" s="17"/>
      <c r="O103" s="17"/>
      <c r="P103" s="17"/>
      <c r="Q103" s="16"/>
      <c r="R103" s="16"/>
      <c r="S103" s="16"/>
      <c r="T103" s="16"/>
      <c r="U103" s="23"/>
      <c r="V103" s="16"/>
      <c r="W103" s="16"/>
      <c r="X103" s="16"/>
      <c r="Y103" s="16"/>
      <c r="Z103" s="17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</row>
    <row r="104" spans="2:44">
      <c r="B104" s="22"/>
      <c r="C104" s="22"/>
      <c r="D104" s="19"/>
      <c r="E104" s="18"/>
      <c r="F104" s="17"/>
      <c r="G104" s="17"/>
      <c r="H104" s="16"/>
      <c r="I104" s="16"/>
      <c r="J104" s="17"/>
      <c r="K104" s="21"/>
      <c r="L104" s="17"/>
      <c r="M104" s="16"/>
      <c r="N104" s="17"/>
      <c r="O104" s="17"/>
      <c r="P104" s="17"/>
      <c r="Q104" s="21"/>
      <c r="R104" s="16"/>
      <c r="S104" s="16"/>
      <c r="T104" s="16"/>
      <c r="U104" s="23"/>
      <c r="V104" s="16"/>
      <c r="W104" s="16"/>
      <c r="X104" s="16"/>
      <c r="Y104" s="16"/>
      <c r="Z104" s="17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</row>
    <row r="105" spans="2:44">
      <c r="B105" s="22"/>
      <c r="C105" s="22"/>
      <c r="D105" s="19"/>
      <c r="E105" s="18"/>
      <c r="F105" s="17"/>
      <c r="G105" s="17"/>
      <c r="H105" s="16"/>
      <c r="I105" s="16"/>
      <c r="J105" s="17"/>
      <c r="K105" s="21"/>
      <c r="L105" s="17"/>
      <c r="M105" s="16"/>
      <c r="N105" s="17"/>
      <c r="O105" s="17"/>
      <c r="P105" s="17"/>
      <c r="Q105" s="21"/>
      <c r="R105" s="16"/>
      <c r="S105" s="16"/>
      <c r="T105" s="16"/>
      <c r="U105" s="23"/>
      <c r="V105" s="16"/>
      <c r="W105" s="16"/>
      <c r="X105" s="16"/>
      <c r="Y105" s="16"/>
      <c r="Z105" s="17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</row>
    <row r="106" spans="2:44">
      <c r="B106" s="22"/>
      <c r="C106" s="22"/>
      <c r="D106" s="19"/>
      <c r="E106" s="18"/>
      <c r="F106" s="17"/>
      <c r="G106" s="17"/>
      <c r="H106" s="16"/>
      <c r="I106" s="16"/>
      <c r="J106" s="17"/>
      <c r="K106" s="17"/>
      <c r="L106" s="17"/>
      <c r="M106" s="16"/>
      <c r="N106" s="17"/>
      <c r="O106" s="17"/>
      <c r="P106" s="17"/>
      <c r="Q106" s="16"/>
      <c r="R106" s="16"/>
      <c r="S106" s="16"/>
      <c r="T106" s="16"/>
      <c r="U106" s="23"/>
      <c r="V106" s="16"/>
      <c r="W106" s="16"/>
      <c r="X106" s="16"/>
      <c r="Y106" s="16"/>
      <c r="Z106" s="17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</row>
    <row r="107" spans="2:44">
      <c r="B107" s="22"/>
      <c r="C107" s="22"/>
      <c r="D107" s="19"/>
      <c r="E107" s="18"/>
      <c r="F107" s="17"/>
      <c r="G107" s="17"/>
      <c r="H107" s="16"/>
      <c r="I107" s="16"/>
      <c r="J107" s="17"/>
      <c r="K107" s="17"/>
      <c r="L107" s="17"/>
      <c r="M107" s="16"/>
      <c r="N107" s="17"/>
      <c r="O107" s="17"/>
      <c r="P107" s="17"/>
      <c r="Q107" s="16"/>
      <c r="R107" s="16"/>
      <c r="S107" s="16"/>
      <c r="T107" s="16"/>
      <c r="U107" s="23"/>
      <c r="V107" s="16"/>
      <c r="W107" s="16"/>
      <c r="X107" s="16"/>
      <c r="Y107" s="16"/>
      <c r="Z107" s="17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</row>
    <row r="108" spans="2:44">
      <c r="B108" s="22"/>
      <c r="C108" s="22"/>
      <c r="D108" s="19"/>
      <c r="E108" s="18"/>
      <c r="F108" s="17"/>
      <c r="G108" s="17"/>
      <c r="H108" s="16"/>
      <c r="I108" s="16"/>
      <c r="J108" s="17"/>
      <c r="K108" s="17"/>
      <c r="L108" s="17"/>
      <c r="M108" s="16"/>
      <c r="N108" s="17"/>
      <c r="O108" s="17"/>
      <c r="P108" s="17"/>
      <c r="Q108" s="16"/>
      <c r="R108" s="16"/>
      <c r="S108" s="16"/>
      <c r="T108" s="16"/>
      <c r="U108" s="23"/>
      <c r="V108" s="16"/>
      <c r="W108" s="16"/>
      <c r="X108" s="16"/>
      <c r="Y108" s="16"/>
      <c r="Z108" s="17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</row>
  </sheetData>
  <mergeCells count="1">
    <mergeCell ref="M1:R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Deposits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14"/>
  <sheetViews>
    <sheetView workbookViewId="0">
      <pane xSplit="5" ySplit="2" topLeftCell="W65" activePane="bottomRight" state="frozen"/>
      <selection pane="topRight" activeCell="F1" sqref="F1"/>
      <selection pane="bottomLeft" activeCell="A2" sqref="A2"/>
      <selection pane="bottomRight" activeCell="C63" sqref="C63"/>
    </sheetView>
  </sheetViews>
  <sheetFormatPr defaultColWidth="9.140625" defaultRowHeight="15"/>
  <cols>
    <col min="1" max="1" width="9.140625" style="1"/>
    <col min="2" max="2" width="11.7109375" style="2" bestFit="1" customWidth="1"/>
    <col min="3" max="3" width="57.28515625" style="2" customWidth="1"/>
    <col min="4" max="4" width="11.42578125" style="3" customWidth="1"/>
    <col min="5" max="5" width="42" style="4" customWidth="1"/>
    <col min="6" max="6" width="18" style="5" customWidth="1"/>
    <col min="7" max="7" width="14.28515625" style="5" customWidth="1"/>
    <col min="10" max="10" width="12.5703125" style="5" customWidth="1"/>
    <col min="11" max="11" width="12.85546875" style="5" customWidth="1"/>
    <col min="12" max="12" width="9.7109375" style="5" bestFit="1" customWidth="1"/>
    <col min="13" max="13" width="10.28515625" customWidth="1"/>
    <col min="14" max="14" width="10.5703125" style="5" bestFit="1" customWidth="1"/>
    <col min="15" max="15" width="12.7109375" style="5" customWidth="1"/>
    <col min="16" max="16" width="14.7109375" style="5" customWidth="1"/>
    <col min="17" max="17" width="10.140625" customWidth="1"/>
    <col min="20" max="20" width="13.28515625" customWidth="1"/>
    <col min="21" max="21" width="11.7109375" style="7" customWidth="1"/>
    <col min="22" max="22" width="10.7109375" customWidth="1"/>
    <col min="23" max="24" width="11.140625" customWidth="1"/>
    <col min="25" max="25" width="11.7109375" customWidth="1"/>
    <col min="26" max="26" width="11.5703125" style="5" bestFit="1" customWidth="1"/>
    <col min="27" max="27" width="14" customWidth="1"/>
    <col min="28" max="28" width="11.42578125" customWidth="1"/>
    <col min="29" max="29" width="19.7109375" customWidth="1"/>
  </cols>
  <sheetData>
    <row r="1" spans="1:30">
      <c r="M1" s="30" t="s">
        <v>0</v>
      </c>
      <c r="N1" s="30"/>
      <c r="O1" s="30"/>
      <c r="P1" s="30"/>
      <c r="Q1" s="30"/>
      <c r="R1" s="30"/>
      <c r="S1" s="6"/>
      <c r="T1" s="6"/>
    </row>
    <row r="2" spans="1:30" ht="60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3" t="s">
        <v>72</v>
      </c>
      <c r="H2" s="13" t="s">
        <v>7</v>
      </c>
      <c r="I2" s="13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3" t="s">
        <v>14</v>
      </c>
      <c r="P2" s="12" t="s">
        <v>15</v>
      </c>
      <c r="Q2" s="12" t="s">
        <v>16</v>
      </c>
      <c r="R2" s="13" t="s">
        <v>17</v>
      </c>
      <c r="S2" s="13" t="s">
        <v>18</v>
      </c>
      <c r="T2" s="13" t="s">
        <v>19</v>
      </c>
      <c r="U2" s="14" t="s">
        <v>20</v>
      </c>
      <c r="V2" s="13" t="s">
        <v>21</v>
      </c>
      <c r="W2" s="13" t="s">
        <v>22</v>
      </c>
      <c r="X2" s="13" t="s">
        <v>74</v>
      </c>
      <c r="Y2" s="13" t="s">
        <v>75</v>
      </c>
      <c r="Z2" s="12" t="s">
        <v>23</v>
      </c>
      <c r="AA2" s="13" t="s">
        <v>24</v>
      </c>
    </row>
    <row r="3" spans="1:30">
      <c r="A3" s="15" t="s">
        <v>25</v>
      </c>
      <c r="B3" s="9"/>
      <c r="C3" s="9"/>
      <c r="D3" s="11"/>
      <c r="E3" s="11"/>
      <c r="F3" s="12"/>
      <c r="G3" s="12"/>
      <c r="H3" s="13"/>
      <c r="I3" s="13"/>
      <c r="J3" s="12"/>
      <c r="K3" s="12"/>
      <c r="L3" s="12"/>
      <c r="M3" s="12"/>
      <c r="N3" s="12"/>
      <c r="O3" s="13"/>
      <c r="P3" s="12"/>
      <c r="Q3" s="12"/>
      <c r="R3" s="13"/>
      <c r="S3" s="13"/>
      <c r="T3" s="13"/>
      <c r="U3" s="14"/>
      <c r="V3" s="13"/>
      <c r="W3" s="13"/>
      <c r="X3" s="13"/>
      <c r="Y3" s="13"/>
      <c r="Z3" s="12"/>
      <c r="AA3" s="13"/>
    </row>
    <row r="4" spans="1:30">
      <c r="A4" s="1">
        <v>43761</v>
      </c>
      <c r="C4" s="2" t="s">
        <v>26</v>
      </c>
      <c r="D4" s="3">
        <v>2306.7800000000002</v>
      </c>
      <c r="E4" s="4" t="s">
        <v>26</v>
      </c>
      <c r="Z4" s="5">
        <v>2306.7800000000002</v>
      </c>
      <c r="AA4" s="5">
        <f>SUM(G4:Z4)</f>
        <v>2306.7800000000002</v>
      </c>
      <c r="AB4" s="3">
        <f t="shared" ref="AB4:AB63" si="0">D4-AA4</f>
        <v>0</v>
      </c>
    </row>
    <row r="5" spans="1:30">
      <c r="A5" s="1">
        <v>43867</v>
      </c>
      <c r="C5" s="2" t="s">
        <v>73</v>
      </c>
      <c r="D5" s="3">
        <v>10000</v>
      </c>
      <c r="E5" s="4" t="s">
        <v>27</v>
      </c>
      <c r="Y5">
        <v>10000</v>
      </c>
      <c r="AA5" s="5">
        <f t="shared" ref="AA5:AA63" si="1">SUM(G5:Z5)</f>
        <v>10000</v>
      </c>
      <c r="AB5" s="3">
        <f t="shared" si="0"/>
        <v>0</v>
      </c>
    </row>
    <row r="6" spans="1:30">
      <c r="A6" s="1">
        <v>43971</v>
      </c>
      <c r="B6" s="2" t="s">
        <v>28</v>
      </c>
      <c r="C6" s="2" t="s">
        <v>29</v>
      </c>
      <c r="D6" s="3">
        <v>0.08</v>
      </c>
      <c r="E6" s="4" t="s">
        <v>30</v>
      </c>
      <c r="M6">
        <v>0.08</v>
      </c>
      <c r="AA6" s="5">
        <f t="shared" si="1"/>
        <v>0.08</v>
      </c>
      <c r="AB6" s="3">
        <f t="shared" si="0"/>
        <v>0</v>
      </c>
    </row>
    <row r="7" spans="1:30">
      <c r="A7" s="1">
        <v>43971</v>
      </c>
      <c r="B7" s="2" t="s">
        <v>28</v>
      </c>
      <c r="C7" s="2" t="s">
        <v>6</v>
      </c>
      <c r="D7" s="3">
        <v>2828.59</v>
      </c>
      <c r="G7" s="17">
        <f>2828.59+44.33+47.12+7.44</f>
        <v>2927.48</v>
      </c>
      <c r="W7">
        <f>-44.33-47.12-7.44</f>
        <v>-98.889999999999986</v>
      </c>
      <c r="AA7" s="5">
        <f t="shared" si="1"/>
        <v>2828.59</v>
      </c>
      <c r="AB7" s="3">
        <f t="shared" si="0"/>
        <v>0</v>
      </c>
    </row>
    <row r="8" spans="1:30">
      <c r="A8" s="1">
        <v>43973</v>
      </c>
      <c r="B8" s="2" t="s">
        <v>31</v>
      </c>
      <c r="C8" s="2" t="s">
        <v>6</v>
      </c>
      <c r="D8" s="3">
        <v>1350</v>
      </c>
      <c r="G8" s="5">
        <v>1350</v>
      </c>
      <c r="AA8" s="5">
        <f t="shared" si="1"/>
        <v>1350</v>
      </c>
      <c r="AB8" s="3">
        <f t="shared" si="0"/>
        <v>0</v>
      </c>
    </row>
    <row r="9" spans="1:30">
      <c r="A9" s="1">
        <v>43987</v>
      </c>
      <c r="B9" s="2" t="s">
        <v>32</v>
      </c>
      <c r="C9" s="2" t="s">
        <v>6</v>
      </c>
      <c r="D9" s="3">
        <v>1010</v>
      </c>
      <c r="G9" s="5">
        <v>1010</v>
      </c>
      <c r="AA9" s="5">
        <f t="shared" si="1"/>
        <v>1010</v>
      </c>
      <c r="AB9" s="3">
        <f t="shared" si="0"/>
        <v>0</v>
      </c>
    </row>
    <row r="10" spans="1:30">
      <c r="A10" s="1">
        <v>43997</v>
      </c>
      <c r="B10" s="2" t="s">
        <v>28</v>
      </c>
      <c r="C10" s="2" t="s">
        <v>6</v>
      </c>
      <c r="D10" s="3">
        <v>435.12</v>
      </c>
      <c r="G10" s="17">
        <f>75+75+75+72.52+75+75</f>
        <v>447.52</v>
      </c>
      <c r="W10">
        <f>-2.48*5</f>
        <v>-12.4</v>
      </c>
      <c r="AA10" s="5">
        <f t="shared" si="1"/>
        <v>435.12</v>
      </c>
      <c r="AB10" s="3">
        <f t="shared" si="0"/>
        <v>0</v>
      </c>
    </row>
    <row r="11" spans="1:30">
      <c r="A11" s="1">
        <v>44032</v>
      </c>
      <c r="B11" s="2" t="s">
        <v>31</v>
      </c>
      <c r="C11" s="2" t="s">
        <v>6</v>
      </c>
      <c r="D11" s="3">
        <v>725</v>
      </c>
      <c r="G11" s="5">
        <v>725</v>
      </c>
      <c r="AA11" s="5">
        <f t="shared" si="1"/>
        <v>725</v>
      </c>
      <c r="AB11" s="3">
        <f t="shared" si="0"/>
        <v>0</v>
      </c>
    </row>
    <row r="12" spans="1:30">
      <c r="A12" s="1">
        <v>44034</v>
      </c>
      <c r="B12" s="2" t="s">
        <v>28</v>
      </c>
      <c r="C12" s="2" t="s">
        <v>6</v>
      </c>
      <c r="D12" s="3">
        <v>507.64</v>
      </c>
      <c r="G12" s="5">
        <f>75*7</f>
        <v>525</v>
      </c>
      <c r="W12">
        <f>-2.48*7</f>
        <v>-17.36</v>
      </c>
      <c r="AA12" s="5">
        <f t="shared" si="1"/>
        <v>507.64</v>
      </c>
      <c r="AB12" s="3">
        <f t="shared" si="0"/>
        <v>0</v>
      </c>
    </row>
    <row r="13" spans="1:30">
      <c r="A13" s="1">
        <v>44048</v>
      </c>
      <c r="B13" s="2" t="s">
        <v>28</v>
      </c>
      <c r="C13" s="2" t="s">
        <v>33</v>
      </c>
      <c r="D13" s="3">
        <v>65</v>
      </c>
      <c r="E13" s="4" t="s">
        <v>34</v>
      </c>
      <c r="U13" s="7">
        <v>65</v>
      </c>
      <c r="AA13" s="5">
        <f t="shared" si="1"/>
        <v>65</v>
      </c>
      <c r="AB13" s="3">
        <f t="shared" si="0"/>
        <v>0</v>
      </c>
    </row>
    <row r="14" spans="1:30">
      <c r="A14" s="1">
        <v>44061</v>
      </c>
      <c r="B14" s="2" t="s">
        <v>35</v>
      </c>
      <c r="C14" s="2" t="s">
        <v>29</v>
      </c>
      <c r="D14" s="3">
        <v>0.19</v>
      </c>
      <c r="E14" s="4" t="s">
        <v>30</v>
      </c>
      <c r="M14">
        <v>0.19</v>
      </c>
      <c r="AA14" s="5">
        <f t="shared" si="1"/>
        <v>0.19</v>
      </c>
      <c r="AB14" s="3">
        <f t="shared" si="0"/>
        <v>0</v>
      </c>
    </row>
    <row r="15" spans="1:30">
      <c r="A15" s="1">
        <v>44061</v>
      </c>
      <c r="B15" s="2" t="s">
        <v>35</v>
      </c>
      <c r="C15" s="2" t="s">
        <v>29</v>
      </c>
      <c r="D15" s="3">
        <v>0.22</v>
      </c>
      <c r="E15" s="4" t="s">
        <v>30</v>
      </c>
      <c r="M15">
        <v>0.22</v>
      </c>
      <c r="AA15" s="5">
        <f t="shared" si="1"/>
        <v>0.22</v>
      </c>
      <c r="AB15" s="3">
        <f t="shared" si="0"/>
        <v>0</v>
      </c>
    </row>
    <row r="16" spans="1:30">
      <c r="A16" s="1">
        <v>44071</v>
      </c>
      <c r="B16" s="2" t="s">
        <v>35</v>
      </c>
      <c r="C16" s="2" t="s">
        <v>6</v>
      </c>
      <c r="D16" s="3">
        <v>27.5</v>
      </c>
      <c r="U16" s="7">
        <v>27.5</v>
      </c>
      <c r="AA16" s="5">
        <f t="shared" si="1"/>
        <v>27.5</v>
      </c>
      <c r="AB16" s="3">
        <f t="shared" si="0"/>
        <v>0</v>
      </c>
      <c r="AC16" s="16"/>
      <c r="AD16" s="16"/>
    </row>
    <row r="17" spans="1:31">
      <c r="A17" s="1">
        <v>44110</v>
      </c>
      <c r="B17" s="2" t="s">
        <v>28</v>
      </c>
      <c r="C17" s="2" t="s">
        <v>6</v>
      </c>
      <c r="D17" s="3">
        <v>479.68</v>
      </c>
      <c r="G17" s="17">
        <f>75+148.62+112.75+158.88-3.62-3.88</f>
        <v>487.75</v>
      </c>
      <c r="W17">
        <f>-2.48-4.61-3.57-4.91+3.62+3.88</f>
        <v>-8.07</v>
      </c>
      <c r="AA17" s="5">
        <f t="shared" si="1"/>
        <v>479.68</v>
      </c>
      <c r="AB17" s="3">
        <f t="shared" si="0"/>
        <v>0</v>
      </c>
    </row>
    <row r="18" spans="1:31">
      <c r="A18" s="1">
        <v>44118</v>
      </c>
      <c r="B18" s="2" t="s">
        <v>35</v>
      </c>
      <c r="C18" s="2" t="s">
        <v>6</v>
      </c>
      <c r="D18" s="3">
        <v>970.5</v>
      </c>
      <c r="G18" s="5">
        <f>192.5+260+313+175</f>
        <v>940.5</v>
      </c>
      <c r="K18" s="5">
        <v>30</v>
      </c>
      <c r="AA18" s="5">
        <f t="shared" si="1"/>
        <v>970.5</v>
      </c>
      <c r="AB18" s="3">
        <f t="shared" si="0"/>
        <v>0</v>
      </c>
    </row>
    <row r="19" spans="1:31">
      <c r="A19" s="1">
        <v>44120</v>
      </c>
      <c r="B19" s="2" t="s">
        <v>31</v>
      </c>
      <c r="C19" s="2" t="s">
        <v>6</v>
      </c>
      <c r="D19" s="3">
        <v>4705</v>
      </c>
      <c r="G19" s="5">
        <v>4705</v>
      </c>
      <c r="AA19" s="5">
        <f t="shared" si="1"/>
        <v>4705</v>
      </c>
      <c r="AB19" s="3">
        <f t="shared" si="0"/>
        <v>0</v>
      </c>
    </row>
    <row r="20" spans="1:31">
      <c r="A20" s="1">
        <v>44120</v>
      </c>
      <c r="B20" s="2" t="s">
        <v>28</v>
      </c>
      <c r="C20" s="2" t="s">
        <v>6</v>
      </c>
      <c r="D20" s="3">
        <v>569.02</v>
      </c>
      <c r="G20" s="17">
        <f>110+476.63-4-11.63</f>
        <v>571</v>
      </c>
      <c r="W20">
        <f>-3.49-14.12+4+11.63</f>
        <v>-1.9799999999999986</v>
      </c>
      <c r="AA20" s="5">
        <f t="shared" si="1"/>
        <v>569.02</v>
      </c>
      <c r="AB20" s="3">
        <f t="shared" si="0"/>
        <v>0</v>
      </c>
    </row>
    <row r="21" spans="1:31">
      <c r="A21" s="1">
        <v>44113</v>
      </c>
      <c r="B21" s="2" t="s">
        <v>31</v>
      </c>
      <c r="C21" s="2" t="s">
        <v>6</v>
      </c>
      <c r="D21" s="3">
        <v>7921.75</v>
      </c>
      <c r="G21" s="5">
        <f>7921.75-153.25-25</f>
        <v>7743.5</v>
      </c>
      <c r="K21" s="5">
        <f>153.25+25</f>
        <v>178.25</v>
      </c>
      <c r="AA21" s="5">
        <f t="shared" si="1"/>
        <v>7921.75</v>
      </c>
      <c r="AB21" s="3">
        <f t="shared" si="0"/>
        <v>0</v>
      </c>
    </row>
    <row r="22" spans="1:31">
      <c r="A22" s="1">
        <v>44123</v>
      </c>
      <c r="B22" s="2" t="s">
        <v>35</v>
      </c>
      <c r="C22" s="2" t="s">
        <v>6</v>
      </c>
      <c r="D22" s="3">
        <v>325</v>
      </c>
      <c r="G22" s="5">
        <v>325</v>
      </c>
      <c r="AA22" s="5">
        <f t="shared" si="1"/>
        <v>325</v>
      </c>
      <c r="AB22" s="3">
        <f t="shared" si="0"/>
        <v>0</v>
      </c>
    </row>
    <row r="23" spans="1:31">
      <c r="A23" s="1">
        <v>44131</v>
      </c>
      <c r="B23" s="2" t="s">
        <v>31</v>
      </c>
      <c r="C23" s="2" t="s">
        <v>6</v>
      </c>
      <c r="D23" s="3">
        <v>5746.55</v>
      </c>
      <c r="G23" s="5">
        <f>75+312.5+325+155+100+625+155+250+310+565+312.5+325+325+325+325+365+625</f>
        <v>5475</v>
      </c>
      <c r="K23" s="5">
        <f>20+60+25+15+42+42+45+22.55</f>
        <v>271.55</v>
      </c>
      <c r="AA23" s="5">
        <f t="shared" si="1"/>
        <v>5746.55</v>
      </c>
      <c r="AB23" s="3">
        <f t="shared" si="0"/>
        <v>0</v>
      </c>
    </row>
    <row r="24" spans="1:31">
      <c r="A24" s="1">
        <v>44132</v>
      </c>
      <c r="B24" s="2" t="s">
        <v>35</v>
      </c>
      <c r="C24" s="2" t="s">
        <v>6</v>
      </c>
      <c r="D24" s="3">
        <v>110</v>
      </c>
      <c r="G24" s="5">
        <v>110</v>
      </c>
      <c r="AA24" s="5">
        <f t="shared" si="1"/>
        <v>110</v>
      </c>
      <c r="AB24" s="3">
        <f t="shared" si="0"/>
        <v>0</v>
      </c>
    </row>
    <row r="25" spans="1:31">
      <c r="A25" s="1">
        <v>44132</v>
      </c>
      <c r="B25" s="2" t="s">
        <v>28</v>
      </c>
      <c r="C25" s="2" t="s">
        <v>6</v>
      </c>
      <c r="D25" s="3">
        <v>310.42</v>
      </c>
      <c r="G25" s="17">
        <f>320-10</f>
        <v>310</v>
      </c>
      <c r="W25">
        <f>-9.58+10</f>
        <v>0.41999999999999993</v>
      </c>
      <c r="AA25" s="5">
        <f t="shared" si="1"/>
        <v>310.42</v>
      </c>
      <c r="AB25" s="3">
        <f t="shared" si="0"/>
        <v>0</v>
      </c>
    </row>
    <row r="26" spans="1:31">
      <c r="A26" s="1">
        <v>44176</v>
      </c>
      <c r="B26" s="2" t="s">
        <v>31</v>
      </c>
      <c r="C26" s="2" t="s">
        <v>6</v>
      </c>
      <c r="D26" s="3">
        <v>3115.75</v>
      </c>
      <c r="G26" s="17">
        <f>700+312.5+330.56+125+1550</f>
        <v>3018.06</v>
      </c>
      <c r="K26" s="5">
        <f>25+50+22.69</f>
        <v>97.69</v>
      </c>
      <c r="AA26" s="5">
        <f t="shared" si="1"/>
        <v>3115.75</v>
      </c>
      <c r="AB26" s="3">
        <f t="shared" si="0"/>
        <v>0</v>
      </c>
    </row>
    <row r="27" spans="1:31">
      <c r="A27" s="1">
        <v>44264</v>
      </c>
      <c r="B27" s="2" t="s">
        <v>31</v>
      </c>
      <c r="C27" s="2" t="s">
        <v>6</v>
      </c>
      <c r="D27" s="3">
        <v>1569.05</v>
      </c>
      <c r="G27" s="5">
        <f>310+192.5+750+125+75</f>
        <v>1452.5</v>
      </c>
      <c r="K27" s="5">
        <f>69.05+47.5</f>
        <v>116.55</v>
      </c>
      <c r="AA27" s="5">
        <f t="shared" si="1"/>
        <v>1569.05</v>
      </c>
      <c r="AB27" s="3">
        <f t="shared" si="0"/>
        <v>0</v>
      </c>
    </row>
    <row r="28" spans="1:31">
      <c r="A28" s="1">
        <v>44265</v>
      </c>
      <c r="B28" s="2" t="s">
        <v>28</v>
      </c>
      <c r="C28" s="2" t="s">
        <v>6</v>
      </c>
      <c r="D28" s="3">
        <v>555.65</v>
      </c>
      <c r="E28" s="18"/>
      <c r="G28" s="17">
        <f>75*3+348.5-16.5</f>
        <v>557</v>
      </c>
      <c r="W28">
        <f>-2.48*3-10.41+16.5</f>
        <v>-1.3500000000000014</v>
      </c>
      <c r="AA28" s="5">
        <f t="shared" si="1"/>
        <v>555.65</v>
      </c>
      <c r="AB28" s="3">
        <f t="shared" si="0"/>
        <v>0</v>
      </c>
    </row>
    <row r="29" spans="1:31">
      <c r="A29" s="1">
        <v>44319</v>
      </c>
      <c r="B29" s="2" t="s">
        <v>28</v>
      </c>
      <c r="C29" s="2" t="s">
        <v>6</v>
      </c>
      <c r="D29" s="3">
        <v>598.55999999999995</v>
      </c>
      <c r="E29" s="18"/>
      <c r="G29" s="17">
        <f>75+293+75+75</f>
        <v>518</v>
      </c>
      <c r="K29" s="5">
        <v>100</v>
      </c>
      <c r="W29">
        <f>-2.48-8.8-3.2-2.48-2.48</f>
        <v>-19.440000000000001</v>
      </c>
      <c r="AA29" s="5">
        <f t="shared" si="1"/>
        <v>598.55999999999995</v>
      </c>
      <c r="AB29" s="19">
        <f t="shared" si="0"/>
        <v>0</v>
      </c>
      <c r="AC29" s="16"/>
    </row>
    <row r="30" spans="1:31">
      <c r="A30" s="1">
        <v>44319</v>
      </c>
      <c r="B30" s="2" t="s">
        <v>35</v>
      </c>
      <c r="C30" s="2" t="s">
        <v>6</v>
      </c>
      <c r="D30" s="3">
        <v>110</v>
      </c>
      <c r="G30" s="17">
        <v>110</v>
      </c>
      <c r="AA30" s="5">
        <f t="shared" si="1"/>
        <v>110</v>
      </c>
      <c r="AB30" s="3">
        <f t="shared" si="0"/>
        <v>0</v>
      </c>
    </row>
    <row r="31" spans="1:31" ht="13.5" customHeight="1">
      <c r="A31" s="1">
        <v>44319</v>
      </c>
      <c r="B31" s="2" t="s">
        <v>28</v>
      </c>
      <c r="C31" s="2" t="s">
        <v>6</v>
      </c>
      <c r="D31" s="3">
        <v>968.87</v>
      </c>
      <c r="G31" s="17">
        <f>7*75+317.75-9.75</f>
        <v>833</v>
      </c>
      <c r="K31" s="5">
        <v>48.18</v>
      </c>
      <c r="U31" s="7">
        <v>110</v>
      </c>
      <c r="W31">
        <f>-2.48*7-1.7-3.49-9.51+9.75</f>
        <v>-22.309999999999995</v>
      </c>
      <c r="AA31" s="5">
        <f t="shared" si="1"/>
        <v>968.87</v>
      </c>
      <c r="AB31" s="19">
        <f t="shared" si="0"/>
        <v>0</v>
      </c>
      <c r="AC31" s="16"/>
      <c r="AD31" s="16"/>
      <c r="AE31" s="16"/>
    </row>
    <row r="32" spans="1:31">
      <c r="A32" s="1">
        <v>44320</v>
      </c>
      <c r="B32" s="2" t="s">
        <v>31</v>
      </c>
      <c r="C32" s="2" t="s">
        <v>6</v>
      </c>
      <c r="D32" s="3">
        <v>3239</v>
      </c>
      <c r="G32" s="5">
        <f>312.5+412.5+625+310+625+145+700</f>
        <v>3130</v>
      </c>
      <c r="K32" s="5">
        <f>67+42</f>
        <v>109</v>
      </c>
      <c r="AA32" s="5">
        <f t="shared" si="1"/>
        <v>3239</v>
      </c>
      <c r="AB32" s="3">
        <f t="shared" si="0"/>
        <v>0</v>
      </c>
    </row>
    <row r="33" spans="1:28">
      <c r="A33" s="1">
        <v>44342</v>
      </c>
      <c r="B33" s="2" t="s">
        <v>31</v>
      </c>
      <c r="C33" s="2" t="s">
        <v>6</v>
      </c>
      <c r="D33" s="3">
        <v>3642.44</v>
      </c>
      <c r="G33" s="17">
        <f>100+155+155+294.44+390+320+310+220+232+295+75+300+300+496-100-295</f>
        <v>3247.44</v>
      </c>
      <c r="J33" s="5">
        <v>295</v>
      </c>
      <c r="K33" s="5">
        <f>57+15.5</f>
        <v>72.5</v>
      </c>
      <c r="N33" s="5">
        <v>27.5</v>
      </c>
      <c r="AA33" s="5">
        <f t="shared" si="1"/>
        <v>3642.44</v>
      </c>
      <c r="AB33" s="3">
        <f t="shared" si="0"/>
        <v>0</v>
      </c>
    </row>
    <row r="34" spans="1:28">
      <c r="A34" s="1">
        <v>44369</v>
      </c>
      <c r="B34" s="2" t="s">
        <v>31</v>
      </c>
      <c r="C34" s="2" t="s">
        <v>6</v>
      </c>
      <c r="D34" s="3">
        <v>3300.25</v>
      </c>
      <c r="G34" s="5">
        <f>300+155+625+270+155+315+300+300+385+385</f>
        <v>3190</v>
      </c>
      <c r="K34" s="5">
        <f>60+50.25</f>
        <v>110.25</v>
      </c>
      <c r="AA34" s="5">
        <f t="shared" si="1"/>
        <v>3300.25</v>
      </c>
      <c r="AB34" s="3">
        <f t="shared" si="0"/>
        <v>0</v>
      </c>
    </row>
    <row r="35" spans="1:28">
      <c r="A35" s="1">
        <v>44397</v>
      </c>
      <c r="B35" s="2" t="s">
        <v>28</v>
      </c>
      <c r="C35" s="2" t="s">
        <v>6</v>
      </c>
      <c r="D35" s="3">
        <v>2907.92</v>
      </c>
      <c r="G35" s="17">
        <f>71.75+625+476.63+476.63+116.85+75+476.63+358.75+317.75-11.63-11.63-2.85-11.63-8.75-7.75</f>
        <v>2940.75</v>
      </c>
      <c r="W35">
        <f>-2.38-18.43-14.12-14.12-3.69-14.12-10.7-9.51+11.63+11.63+2.85+11.63+8.75+7.75</f>
        <v>-32.830000000000005</v>
      </c>
      <c r="AA35" s="5">
        <f t="shared" si="1"/>
        <v>2907.92</v>
      </c>
      <c r="AB35" s="3">
        <f t="shared" si="0"/>
        <v>0</v>
      </c>
    </row>
    <row r="36" spans="1:28">
      <c r="A36" s="1">
        <v>44405</v>
      </c>
      <c r="B36" s="2" t="s">
        <v>31</v>
      </c>
      <c r="C36" s="2" t="s">
        <v>6</v>
      </c>
      <c r="D36" s="3">
        <v>4035</v>
      </c>
      <c r="G36" s="5">
        <f>625+220+412.5+275+100+300+155+275+625+110+170+300+312.5+155</f>
        <v>4035</v>
      </c>
      <c r="AA36" s="5">
        <f t="shared" si="1"/>
        <v>4035</v>
      </c>
      <c r="AB36" s="3">
        <f t="shared" si="0"/>
        <v>0</v>
      </c>
    </row>
    <row r="37" spans="1:28">
      <c r="A37" s="1">
        <v>44403</v>
      </c>
      <c r="B37" s="2" t="s">
        <v>35</v>
      </c>
      <c r="C37" s="2" t="s">
        <v>6</v>
      </c>
      <c r="D37" s="3">
        <v>300</v>
      </c>
      <c r="G37" s="5">
        <v>300</v>
      </c>
      <c r="AA37" s="5">
        <f t="shared" si="1"/>
        <v>300</v>
      </c>
      <c r="AB37" s="3">
        <f t="shared" si="0"/>
        <v>0</v>
      </c>
    </row>
    <row r="38" spans="1:28" s="16" customFormat="1">
      <c r="A38" s="28">
        <v>44420</v>
      </c>
      <c r="B38" s="22" t="s">
        <v>31</v>
      </c>
      <c r="C38" s="22" t="s">
        <v>6</v>
      </c>
      <c r="D38" s="19">
        <v>2517.5</v>
      </c>
      <c r="E38" s="18"/>
      <c r="F38" s="17"/>
      <c r="G38" s="17">
        <f>625+155+385+312.5+845</f>
        <v>2322.5</v>
      </c>
      <c r="J38" s="17">
        <f>175</f>
        <v>175</v>
      </c>
      <c r="K38" s="17">
        <v>20</v>
      </c>
      <c r="L38" s="17"/>
      <c r="N38" s="17"/>
      <c r="O38" s="17"/>
      <c r="P38" s="17"/>
      <c r="U38" s="23"/>
      <c r="Z38" s="17"/>
      <c r="AA38" s="17">
        <f t="shared" si="1"/>
        <v>2517.5</v>
      </c>
      <c r="AB38" s="19">
        <f t="shared" si="0"/>
        <v>0</v>
      </c>
    </row>
    <row r="39" spans="1:28" s="16" customFormat="1">
      <c r="A39" s="28">
        <v>44432</v>
      </c>
      <c r="B39" s="22" t="s">
        <v>31</v>
      </c>
      <c r="C39" s="22" t="s">
        <v>6</v>
      </c>
      <c r="D39" s="19">
        <v>7738.5</v>
      </c>
      <c r="E39" s="18"/>
      <c r="F39" s="17"/>
      <c r="G39" s="17">
        <f>312.5+385+580</f>
        <v>1277.5</v>
      </c>
      <c r="J39" s="17">
        <f>315+315+240+75+50+95+110+143+190+235+40+143+75+175+155+40+205+160+175+205+225+230+235+45+40+110+50+295+315+120+110+110+80+315+315+205+45+140+110+125</f>
        <v>6361</v>
      </c>
      <c r="K39" s="17">
        <f>100</f>
        <v>100</v>
      </c>
      <c r="L39" s="17"/>
      <c r="N39" s="17"/>
      <c r="O39" s="17"/>
      <c r="P39" s="17"/>
      <c r="U39" s="23"/>
      <c r="Z39" s="17"/>
      <c r="AA39" s="17">
        <f t="shared" si="1"/>
        <v>7738.5</v>
      </c>
      <c r="AB39" s="19">
        <f t="shared" si="0"/>
        <v>0</v>
      </c>
    </row>
    <row r="40" spans="1:28" s="16" customFormat="1">
      <c r="A40" s="28">
        <v>44421</v>
      </c>
      <c r="B40" s="22" t="s">
        <v>35</v>
      </c>
      <c r="C40" s="22" t="s">
        <v>6</v>
      </c>
      <c r="D40" s="19">
        <v>671</v>
      </c>
      <c r="E40" s="18"/>
      <c r="F40" s="17"/>
      <c r="G40" s="17"/>
      <c r="J40" s="17">
        <v>671</v>
      </c>
      <c r="K40" s="17"/>
      <c r="L40" s="17"/>
      <c r="N40" s="17"/>
      <c r="O40" s="17"/>
      <c r="P40" s="17"/>
      <c r="U40" s="23"/>
      <c r="Z40" s="17"/>
      <c r="AA40" s="17">
        <f t="shared" si="1"/>
        <v>671</v>
      </c>
      <c r="AB40" s="19">
        <f t="shared" si="0"/>
        <v>0</v>
      </c>
    </row>
    <row r="41" spans="1:28" s="16" customFormat="1">
      <c r="A41" s="28">
        <v>44421</v>
      </c>
      <c r="B41" s="22" t="s">
        <v>28</v>
      </c>
      <c r="C41" s="22" t="s">
        <v>6</v>
      </c>
      <c r="D41" s="19">
        <v>1111.43</v>
      </c>
      <c r="E41" s="18"/>
      <c r="F41" s="17"/>
      <c r="G41" s="17">
        <f>625</f>
        <v>625</v>
      </c>
      <c r="J41" s="17">
        <f>69.7+50+69.7+41+110.7+87.13-1.7-1.7-1-2.7-2.13</f>
        <v>419.00000000000006</v>
      </c>
      <c r="K41" s="17">
        <v>60</v>
      </c>
      <c r="L41" s="17"/>
      <c r="N41" s="17"/>
      <c r="O41" s="17"/>
      <c r="P41" s="17"/>
      <c r="U41" s="23">
        <v>20</v>
      </c>
      <c r="W41" s="16">
        <f>-2.62-18.55-0.94-2.5-1.94-2.5-1.67-3.69-3.01+1.7+1.7+1+2.7+2.13+15.62</f>
        <v>-12.569999999999999</v>
      </c>
      <c r="Z41" s="17"/>
      <c r="AA41" s="17">
        <f t="shared" si="1"/>
        <v>1111.43</v>
      </c>
      <c r="AB41" s="19">
        <f t="shared" si="0"/>
        <v>0</v>
      </c>
    </row>
    <row r="42" spans="1:28" s="16" customFormat="1">
      <c r="A42" s="28">
        <v>44434</v>
      </c>
      <c r="B42" s="22" t="s">
        <v>28</v>
      </c>
      <c r="C42" s="22" t="s">
        <v>6</v>
      </c>
      <c r="D42" s="19">
        <v>1152.5</v>
      </c>
      <c r="E42" s="18"/>
      <c r="F42" s="17"/>
      <c r="G42" s="17">
        <f>540</f>
        <v>540</v>
      </c>
      <c r="J42" s="17">
        <f>230.63+223.45+194.75-5.63-5.45-4.75</f>
        <v>632.99999999999989</v>
      </c>
      <c r="K42" s="17"/>
      <c r="L42" s="17"/>
      <c r="N42" s="17"/>
      <c r="O42" s="17"/>
      <c r="P42" s="17"/>
      <c r="U42" s="23"/>
      <c r="W42" s="16">
        <f>-16.1-7.16-6.95-6.12+5.63+5.45+4.75</f>
        <v>-20.5</v>
      </c>
      <c r="Z42" s="17"/>
      <c r="AA42" s="17">
        <f t="shared" si="1"/>
        <v>1152.5</v>
      </c>
      <c r="AB42" s="19">
        <f t="shared" si="0"/>
        <v>0</v>
      </c>
    </row>
    <row r="43" spans="1:28" s="16" customFormat="1">
      <c r="A43" s="28">
        <v>44455</v>
      </c>
      <c r="B43" s="22" t="s">
        <v>31</v>
      </c>
      <c r="C43" s="22" t="s">
        <v>6</v>
      </c>
      <c r="D43" s="19">
        <v>3124</v>
      </c>
      <c r="E43" s="18"/>
      <c r="F43" s="17"/>
      <c r="G43" s="17">
        <v>300</v>
      </c>
      <c r="J43" s="17">
        <f>118+68+240+125+95+110+155+40+375+95+235+230+240+118+265+315</f>
        <v>2824</v>
      </c>
      <c r="K43" s="17"/>
      <c r="L43" s="17"/>
      <c r="N43" s="17"/>
      <c r="O43" s="17"/>
      <c r="P43" s="17"/>
      <c r="U43" s="23"/>
      <c r="Z43" s="17"/>
      <c r="AA43" s="17">
        <f t="shared" si="1"/>
        <v>3124</v>
      </c>
      <c r="AB43" s="19">
        <f t="shared" si="0"/>
        <v>0</v>
      </c>
    </row>
    <row r="44" spans="1:28" s="16" customFormat="1">
      <c r="A44" s="28">
        <v>44443</v>
      </c>
      <c r="B44" s="22" t="s">
        <v>28</v>
      </c>
      <c r="C44" s="22" t="s">
        <v>6</v>
      </c>
      <c r="D44" s="19">
        <v>1921.54</v>
      </c>
      <c r="E44" s="18" t="s">
        <v>36</v>
      </c>
      <c r="F44" s="17"/>
      <c r="G44" s="17">
        <v>643.75</v>
      </c>
      <c r="J44" s="17">
        <f>194.75+264.45+194.75+322.88+112.5+117.88+125-4.75-6.45-4.75-7.88-2.5-2.88</f>
        <v>1302.9999999999998</v>
      </c>
      <c r="K44" s="17"/>
      <c r="L44" s="17"/>
      <c r="N44" s="17"/>
      <c r="O44" s="17"/>
      <c r="P44" s="17"/>
      <c r="U44" s="23"/>
      <c r="W44" s="16">
        <f>-8.13-6.12-9.82-3.74-3.9-22.71+4.75+6.45+4.75+7.88+2.5+2.88</f>
        <v>-25.21</v>
      </c>
      <c r="Z44" s="17"/>
      <c r="AA44" s="17">
        <f t="shared" si="1"/>
        <v>1921.5399999999997</v>
      </c>
      <c r="AB44" s="19">
        <f t="shared" si="0"/>
        <v>0</v>
      </c>
    </row>
    <row r="45" spans="1:28" s="16" customFormat="1">
      <c r="A45" s="28">
        <v>44456</v>
      </c>
      <c r="B45" s="22" t="s">
        <v>28</v>
      </c>
      <c r="C45" s="22" t="s">
        <v>6</v>
      </c>
      <c r="D45" s="19">
        <v>564.66</v>
      </c>
      <c r="E45" s="18"/>
      <c r="F45" s="17"/>
      <c r="G45" s="17"/>
      <c r="J45" s="17">
        <f>69.7+300+40-1.7</f>
        <v>408</v>
      </c>
      <c r="K45" s="17"/>
      <c r="L45" s="17"/>
      <c r="M45" s="16">
        <v>40</v>
      </c>
      <c r="N45" s="17"/>
      <c r="O45" s="17"/>
      <c r="P45" s="17"/>
      <c r="U45" s="23">
        <v>119.11</v>
      </c>
      <c r="W45" s="16">
        <f>-2.5-1.65+1.7</f>
        <v>-2.4500000000000002</v>
      </c>
      <c r="Z45" s="17"/>
      <c r="AA45" s="17">
        <f t="shared" si="1"/>
        <v>564.66</v>
      </c>
      <c r="AB45" s="19">
        <f t="shared" si="0"/>
        <v>0</v>
      </c>
    </row>
    <row r="46" spans="1:28" s="16" customFormat="1">
      <c r="A46" s="28">
        <v>44461</v>
      </c>
      <c r="B46" s="22" t="s">
        <v>28</v>
      </c>
      <c r="C46" s="22" t="s">
        <v>6</v>
      </c>
      <c r="D46" s="19">
        <v>360.16</v>
      </c>
      <c r="E46" s="18"/>
      <c r="F46" s="17"/>
      <c r="G46" s="17"/>
      <c r="J46" s="17">
        <f>240+118</f>
        <v>358</v>
      </c>
      <c r="K46" s="17"/>
      <c r="L46" s="17"/>
      <c r="N46" s="17"/>
      <c r="O46" s="17"/>
      <c r="P46" s="17"/>
      <c r="U46" s="23"/>
      <c r="W46" s="16">
        <f>-10.84+13</f>
        <v>2.16</v>
      </c>
      <c r="Z46" s="17"/>
      <c r="AA46" s="17">
        <f t="shared" si="1"/>
        <v>360.16</v>
      </c>
      <c r="AB46" s="19">
        <f t="shared" si="0"/>
        <v>0</v>
      </c>
    </row>
    <row r="47" spans="1:28" s="16" customFormat="1">
      <c r="A47" s="28">
        <v>44474</v>
      </c>
      <c r="B47" s="22" t="s">
        <v>28</v>
      </c>
      <c r="C47" s="22" t="s">
        <v>6</v>
      </c>
      <c r="D47" s="19">
        <v>1080.42</v>
      </c>
      <c r="E47" s="18"/>
      <c r="F47" s="17"/>
      <c r="G47" s="17">
        <v>825</v>
      </c>
      <c r="J47" s="17">
        <v>295</v>
      </c>
      <c r="K47" s="17"/>
      <c r="L47" s="17"/>
      <c r="N47" s="17"/>
      <c r="O47" s="17"/>
      <c r="P47" s="17"/>
      <c r="U47" s="23"/>
      <c r="W47" s="16">
        <v>-39.58</v>
      </c>
      <c r="Z47" s="17"/>
      <c r="AA47" s="17">
        <f t="shared" si="1"/>
        <v>1080.42</v>
      </c>
      <c r="AB47" s="19">
        <f t="shared" si="0"/>
        <v>0</v>
      </c>
    </row>
    <row r="48" spans="1:28" s="16" customFormat="1">
      <c r="A48" s="28">
        <v>44477</v>
      </c>
      <c r="B48" s="22" t="s">
        <v>35</v>
      </c>
      <c r="C48" s="22" t="s">
        <v>6</v>
      </c>
      <c r="D48" s="19">
        <v>115</v>
      </c>
      <c r="E48" s="18"/>
      <c r="F48" s="17"/>
      <c r="G48" s="17"/>
      <c r="J48" s="17">
        <v>115</v>
      </c>
      <c r="K48" s="17"/>
      <c r="L48" s="17"/>
      <c r="N48" s="17"/>
      <c r="O48" s="17"/>
      <c r="P48" s="17"/>
      <c r="U48" s="23"/>
      <c r="Z48" s="17"/>
      <c r="AA48" s="17">
        <f t="shared" si="1"/>
        <v>115</v>
      </c>
      <c r="AB48" s="19">
        <f t="shared" si="0"/>
        <v>0</v>
      </c>
    </row>
    <row r="49" spans="1:44" s="16" customFormat="1">
      <c r="A49" s="28">
        <v>44477</v>
      </c>
      <c r="B49" s="22" t="s">
        <v>28</v>
      </c>
      <c r="C49" s="22" t="s">
        <v>6</v>
      </c>
      <c r="D49" s="19">
        <v>567.12</v>
      </c>
      <c r="E49" s="18"/>
      <c r="F49" s="17"/>
      <c r="G49" s="17">
        <v>220</v>
      </c>
      <c r="J49" s="17">
        <f>50+315</f>
        <v>365</v>
      </c>
      <c r="K49" s="17"/>
      <c r="L49" s="17"/>
      <c r="N49" s="17"/>
      <c r="O49" s="17"/>
      <c r="P49" s="17"/>
      <c r="U49" s="23"/>
      <c r="W49" s="16">
        <v>-17.88</v>
      </c>
      <c r="Z49" s="17"/>
      <c r="AA49" s="17">
        <f t="shared" si="1"/>
        <v>567.12</v>
      </c>
      <c r="AB49" s="19">
        <f t="shared" si="0"/>
        <v>0</v>
      </c>
    </row>
    <row r="50" spans="1:44" s="16" customFormat="1">
      <c r="A50" s="28">
        <v>44487</v>
      </c>
      <c r="B50" s="22" t="s">
        <v>37</v>
      </c>
      <c r="C50" s="22" t="s">
        <v>38</v>
      </c>
      <c r="D50" s="19">
        <v>194.15</v>
      </c>
      <c r="E50" s="18" t="s">
        <v>56</v>
      </c>
      <c r="F50" s="17"/>
      <c r="G50" s="17"/>
      <c r="J50" s="17"/>
      <c r="K50" s="17"/>
      <c r="L50" s="17"/>
      <c r="N50" s="17"/>
      <c r="O50" s="17"/>
      <c r="P50" s="17"/>
      <c r="T50" s="16">
        <v>194.15</v>
      </c>
      <c r="U50" s="23"/>
      <c r="Z50" s="17"/>
      <c r="AA50" s="17">
        <f t="shared" si="1"/>
        <v>194.15</v>
      </c>
      <c r="AB50" s="19">
        <f t="shared" si="0"/>
        <v>0</v>
      </c>
    </row>
    <row r="51" spans="1:44" s="16" customFormat="1">
      <c r="A51" s="28">
        <v>44476</v>
      </c>
      <c r="B51" s="22" t="s">
        <v>31</v>
      </c>
      <c r="C51" s="22" t="s">
        <v>6</v>
      </c>
      <c r="D51" s="19">
        <v>1030</v>
      </c>
      <c r="E51" s="18"/>
      <c r="F51" s="17"/>
      <c r="G51" s="17">
        <v>625</v>
      </c>
      <c r="J51" s="17">
        <f>183+75+85</f>
        <v>343</v>
      </c>
      <c r="K51" s="17">
        <v>42</v>
      </c>
      <c r="L51" s="17">
        <v>20</v>
      </c>
      <c r="N51" s="17"/>
      <c r="O51" s="17"/>
      <c r="P51" s="17"/>
      <c r="U51" s="23"/>
      <c r="Z51" s="17"/>
      <c r="AA51" s="17">
        <f t="shared" si="1"/>
        <v>1030</v>
      </c>
      <c r="AB51" s="19">
        <f t="shared" si="0"/>
        <v>0</v>
      </c>
    </row>
    <row r="52" spans="1:44">
      <c r="A52" s="1">
        <v>44501</v>
      </c>
      <c r="B52" s="2" t="s">
        <v>39</v>
      </c>
      <c r="C52" s="2" t="s">
        <v>40</v>
      </c>
      <c r="D52" s="3">
        <v>1679.75</v>
      </c>
      <c r="E52" s="4" t="s">
        <v>41</v>
      </c>
      <c r="I52">
        <v>80</v>
      </c>
      <c r="J52" s="5">
        <v>68</v>
      </c>
      <c r="K52" s="5">
        <f>1292.5+331.75-209.5</f>
        <v>1414.75</v>
      </c>
      <c r="S52">
        <v>209.5</v>
      </c>
      <c r="V52">
        <v>1200</v>
      </c>
      <c r="AA52" s="5">
        <f t="shared" si="1"/>
        <v>2972.25</v>
      </c>
      <c r="AB52" s="3">
        <f t="shared" si="0"/>
        <v>-1292.5</v>
      </c>
      <c r="AC52" s="16" t="s">
        <v>42</v>
      </c>
    </row>
    <row r="53" spans="1:44">
      <c r="A53" s="1">
        <v>44501</v>
      </c>
      <c r="B53" s="2" t="s">
        <v>39</v>
      </c>
      <c r="C53" s="2" t="s">
        <v>40</v>
      </c>
      <c r="D53" s="3">
        <v>2468.3000000000002</v>
      </c>
      <c r="E53" s="4" t="s">
        <v>41</v>
      </c>
      <c r="K53" s="5">
        <f>124.75+68.8+40+120</f>
        <v>353.55</v>
      </c>
      <c r="N53" s="5">
        <v>60</v>
      </c>
      <c r="O53" s="5">
        <v>475</v>
      </c>
      <c r="P53" s="5">
        <v>287.25</v>
      </c>
      <c r="AA53" s="5">
        <f t="shared" si="1"/>
        <v>1175.8</v>
      </c>
      <c r="AB53" s="3">
        <f t="shared" si="0"/>
        <v>1292.5000000000002</v>
      </c>
      <c r="AC53" s="16" t="s">
        <v>42</v>
      </c>
    </row>
    <row r="54" spans="1:44">
      <c r="A54" s="1">
        <v>44508</v>
      </c>
      <c r="B54" s="2" t="s">
        <v>35</v>
      </c>
      <c r="C54" s="2" t="s">
        <v>6</v>
      </c>
      <c r="D54" s="3">
        <v>515.75</v>
      </c>
      <c r="K54" s="17">
        <f>35+20+144.75</f>
        <v>199.75</v>
      </c>
      <c r="N54" s="5">
        <v>150</v>
      </c>
      <c r="O54" s="5">
        <f>55+75+20</f>
        <v>150</v>
      </c>
      <c r="P54" s="5">
        <v>16</v>
      </c>
      <c r="AA54" s="5">
        <f t="shared" si="1"/>
        <v>515.75</v>
      </c>
      <c r="AB54" s="19">
        <f t="shared" si="0"/>
        <v>0</v>
      </c>
      <c r="AC54" s="16"/>
      <c r="AD54" s="16"/>
    </row>
    <row r="55" spans="1:44">
      <c r="A55" s="1">
        <v>44132</v>
      </c>
      <c r="B55" s="2" t="s">
        <v>43</v>
      </c>
      <c r="C55" s="2" t="s">
        <v>44</v>
      </c>
      <c r="D55" s="3">
        <v>-52</v>
      </c>
      <c r="E55" s="4" t="s">
        <v>45</v>
      </c>
      <c r="K55" s="5">
        <v>-42</v>
      </c>
      <c r="L55" s="5">
        <v>-10</v>
      </c>
      <c r="AA55" s="5">
        <f t="shared" si="1"/>
        <v>-52</v>
      </c>
      <c r="AB55" s="3">
        <f t="shared" si="0"/>
        <v>0</v>
      </c>
    </row>
    <row r="56" spans="1:44">
      <c r="A56" s="1">
        <v>44113</v>
      </c>
      <c r="B56" s="2" t="s">
        <v>43</v>
      </c>
      <c r="C56" s="2" t="s">
        <v>44</v>
      </c>
      <c r="D56" s="3">
        <v>-635</v>
      </c>
      <c r="E56" s="4" t="s">
        <v>45</v>
      </c>
      <c r="G56" s="5">
        <v>-625</v>
      </c>
      <c r="L56" s="5">
        <v>-10</v>
      </c>
      <c r="AA56" s="5">
        <f t="shared" si="1"/>
        <v>-635</v>
      </c>
      <c r="AB56" s="3">
        <f t="shared" si="0"/>
        <v>0</v>
      </c>
    </row>
    <row r="57" spans="1:44">
      <c r="A57" s="1">
        <v>44435</v>
      </c>
      <c r="B57" s="2" t="s">
        <v>35</v>
      </c>
      <c r="C57" s="2" t="s">
        <v>70</v>
      </c>
      <c r="D57" s="3">
        <v>-40</v>
      </c>
      <c r="M57">
        <v>-40</v>
      </c>
      <c r="AA57" s="5">
        <f t="shared" ref="AA57" si="2">SUM(G57:Z57)</f>
        <v>-40</v>
      </c>
      <c r="AB57" s="3">
        <f t="shared" ref="AB57" si="3">D57-AA57</f>
        <v>0</v>
      </c>
    </row>
    <row r="58" spans="1:44">
      <c r="AA58" s="5"/>
      <c r="AB58" s="3"/>
    </row>
    <row r="59" spans="1:44">
      <c r="C59" s="2" t="s">
        <v>69</v>
      </c>
      <c r="D59" s="5">
        <f>SUM(D4:D58)</f>
        <v>90821.309999999983</v>
      </c>
      <c r="F59" s="5">
        <f>SUM(F4:F58)</f>
        <v>0</v>
      </c>
      <c r="G59" s="5">
        <f t="shared" ref="G59:AR59" si="4">SUM(G4:G58)</f>
        <v>57738.25</v>
      </c>
      <c r="H59" s="5">
        <f t="shared" si="4"/>
        <v>0</v>
      </c>
      <c r="I59" s="5">
        <f t="shared" si="4"/>
        <v>80</v>
      </c>
      <c r="J59" s="5">
        <f t="shared" si="4"/>
        <v>14633</v>
      </c>
      <c r="K59" s="5">
        <f t="shared" si="4"/>
        <v>3282.02</v>
      </c>
      <c r="L59" s="5">
        <f t="shared" si="4"/>
        <v>0</v>
      </c>
      <c r="M59" s="5">
        <f t="shared" si="4"/>
        <v>0.49000000000000199</v>
      </c>
      <c r="N59" s="5">
        <f t="shared" si="4"/>
        <v>237.5</v>
      </c>
      <c r="O59" s="5">
        <f t="shared" si="4"/>
        <v>625</v>
      </c>
      <c r="P59" s="5">
        <f t="shared" si="4"/>
        <v>303.25</v>
      </c>
      <c r="Q59" s="5">
        <f t="shared" si="4"/>
        <v>0</v>
      </c>
      <c r="R59" s="5">
        <f t="shared" si="4"/>
        <v>0</v>
      </c>
      <c r="S59" s="5">
        <f t="shared" si="4"/>
        <v>209.5</v>
      </c>
      <c r="T59" s="5">
        <f t="shared" si="4"/>
        <v>194.15</v>
      </c>
      <c r="U59" s="5">
        <f t="shared" si="4"/>
        <v>341.61</v>
      </c>
      <c r="V59" s="5">
        <f t="shared" si="4"/>
        <v>1200</v>
      </c>
      <c r="W59" s="5">
        <f t="shared" si="4"/>
        <v>-330.2399999999999</v>
      </c>
      <c r="X59" s="5">
        <f t="shared" si="4"/>
        <v>0</v>
      </c>
      <c r="Y59" s="5">
        <f t="shared" si="4"/>
        <v>10000</v>
      </c>
      <c r="Z59" s="5">
        <f t="shared" si="4"/>
        <v>2306.7800000000002</v>
      </c>
      <c r="AA59" s="5">
        <f t="shared" si="4"/>
        <v>90821.309999999983</v>
      </c>
      <c r="AB59" s="5">
        <f t="shared" si="4"/>
        <v>2.2737367544323206E-13</v>
      </c>
      <c r="AC59" s="5">
        <f t="shared" si="4"/>
        <v>0</v>
      </c>
      <c r="AD59" s="5">
        <f t="shared" si="4"/>
        <v>0</v>
      </c>
      <c r="AE59" s="5">
        <f t="shared" si="4"/>
        <v>0</v>
      </c>
      <c r="AF59" s="5">
        <f t="shared" si="4"/>
        <v>0</v>
      </c>
      <c r="AG59" s="5">
        <f t="shared" si="4"/>
        <v>0</v>
      </c>
      <c r="AH59" s="5">
        <f t="shared" si="4"/>
        <v>0</v>
      </c>
      <c r="AI59" s="5">
        <f t="shared" si="4"/>
        <v>0</v>
      </c>
      <c r="AJ59" s="5">
        <f t="shared" si="4"/>
        <v>0</v>
      </c>
      <c r="AK59" s="5">
        <f t="shared" si="4"/>
        <v>0</v>
      </c>
      <c r="AL59" s="5">
        <f t="shared" si="4"/>
        <v>0</v>
      </c>
      <c r="AM59" s="5">
        <f t="shared" si="4"/>
        <v>0</v>
      </c>
      <c r="AN59" s="5">
        <f t="shared" si="4"/>
        <v>0</v>
      </c>
      <c r="AO59" s="5">
        <f t="shared" si="4"/>
        <v>0</v>
      </c>
      <c r="AP59" s="5">
        <f t="shared" si="4"/>
        <v>0</v>
      </c>
      <c r="AQ59" s="5">
        <f t="shared" si="4"/>
        <v>0</v>
      </c>
      <c r="AR59" s="5">
        <f t="shared" si="4"/>
        <v>0</v>
      </c>
    </row>
    <row r="60" spans="1:44">
      <c r="A60" s="20" t="s">
        <v>46</v>
      </c>
      <c r="E60" s="27">
        <f>SUM(F59:Z59)</f>
        <v>90821.31</v>
      </c>
      <c r="AA60" s="5"/>
      <c r="AB60" s="3"/>
    </row>
    <row r="61" spans="1:44">
      <c r="AA61" s="5"/>
      <c r="AB61" s="3"/>
    </row>
    <row r="62" spans="1:44">
      <c r="A62" s="1">
        <v>44481</v>
      </c>
      <c r="B62" s="2" t="s">
        <v>22</v>
      </c>
      <c r="C62" s="2" t="s">
        <v>47</v>
      </c>
      <c r="D62" s="3">
        <v>38.35</v>
      </c>
      <c r="E62" s="4" t="s">
        <v>48</v>
      </c>
      <c r="I62">
        <v>40</v>
      </c>
      <c r="W62">
        <v>-1.65</v>
      </c>
      <c r="AA62" s="5">
        <f t="shared" si="1"/>
        <v>38.35</v>
      </c>
      <c r="AB62" s="3">
        <f t="shared" si="0"/>
        <v>0</v>
      </c>
    </row>
    <row r="63" spans="1:44" ht="30">
      <c r="C63" s="31" t="s">
        <v>84</v>
      </c>
      <c r="D63" s="29">
        <v>-575</v>
      </c>
      <c r="E63" s="3"/>
      <c r="G63" s="5">
        <v>-500</v>
      </c>
      <c r="Q63">
        <v>-75</v>
      </c>
      <c r="Z63" s="3"/>
      <c r="AA63" s="5">
        <f t="shared" si="1"/>
        <v>-575</v>
      </c>
      <c r="AB63" s="3">
        <f t="shared" si="0"/>
        <v>0</v>
      </c>
    </row>
    <row r="64" spans="1:44">
      <c r="C64" s="25"/>
      <c r="D64" s="29"/>
      <c r="E64" s="3"/>
      <c r="Z64" s="3"/>
      <c r="AA64" s="5"/>
      <c r="AB64" s="3"/>
    </row>
    <row r="65" spans="1:28">
      <c r="C65" s="25"/>
      <c r="D65" s="29"/>
      <c r="E65" s="3"/>
      <c r="Z65" s="3"/>
      <c r="AA65" s="5"/>
      <c r="AB65" s="3"/>
    </row>
    <row r="66" spans="1:28">
      <c r="C66" s="2" t="s">
        <v>69</v>
      </c>
      <c r="D66" s="3">
        <f>SUM(D59:D64)</f>
        <v>90284.659999999989</v>
      </c>
      <c r="F66" s="5">
        <f>SUM(F59:F64)</f>
        <v>0</v>
      </c>
      <c r="G66" s="5">
        <f t="shared" ref="G66:Z66" si="5">SUM(G59:G64)</f>
        <v>57238.25</v>
      </c>
      <c r="H66" s="5">
        <f t="shared" si="5"/>
        <v>0</v>
      </c>
      <c r="I66" s="5">
        <f t="shared" si="5"/>
        <v>120</v>
      </c>
      <c r="J66" s="5">
        <f t="shared" si="5"/>
        <v>14633</v>
      </c>
      <c r="K66" s="5">
        <f t="shared" si="5"/>
        <v>3282.02</v>
      </c>
      <c r="L66" s="5">
        <f t="shared" si="5"/>
        <v>0</v>
      </c>
      <c r="M66" s="5">
        <f t="shared" si="5"/>
        <v>0.49000000000000199</v>
      </c>
      <c r="N66" s="5">
        <f t="shared" si="5"/>
        <v>237.5</v>
      </c>
      <c r="O66" s="5">
        <f t="shared" si="5"/>
        <v>625</v>
      </c>
      <c r="P66" s="5">
        <f t="shared" si="5"/>
        <v>303.25</v>
      </c>
      <c r="Q66" s="5">
        <f t="shared" si="5"/>
        <v>-75</v>
      </c>
      <c r="R66" s="5">
        <f t="shared" si="5"/>
        <v>0</v>
      </c>
      <c r="S66" s="5">
        <f t="shared" si="5"/>
        <v>209.5</v>
      </c>
      <c r="T66" s="5">
        <f t="shared" si="5"/>
        <v>194.15</v>
      </c>
      <c r="U66" s="5">
        <f t="shared" si="5"/>
        <v>341.61</v>
      </c>
      <c r="V66" s="5">
        <f t="shared" si="5"/>
        <v>1200</v>
      </c>
      <c r="W66" s="5">
        <f t="shared" si="5"/>
        <v>-331.88999999999987</v>
      </c>
      <c r="X66" s="5">
        <f t="shared" si="5"/>
        <v>0</v>
      </c>
      <c r="Y66" s="5">
        <f t="shared" si="5"/>
        <v>10000</v>
      </c>
      <c r="Z66" s="5">
        <f t="shared" si="5"/>
        <v>2306.7800000000002</v>
      </c>
      <c r="AA66" s="3">
        <f>SUM(AA59:AA64)</f>
        <v>90284.659999999989</v>
      </c>
      <c r="AB66" s="3"/>
    </row>
    <row r="67" spans="1:28">
      <c r="E67" s="27">
        <f>SUM(F66:Z66)</f>
        <v>90284.66</v>
      </c>
    </row>
    <row r="68" spans="1:28">
      <c r="A68" s="20" t="s">
        <v>55</v>
      </c>
    </row>
    <row r="69" spans="1:28">
      <c r="A69" s="20"/>
      <c r="B69" s="25" t="s">
        <v>64</v>
      </c>
      <c r="G69" s="5">
        <v>-550</v>
      </c>
      <c r="H69">
        <v>550</v>
      </c>
      <c r="AA69" s="5">
        <f t="shared" ref="AA69:AA84" si="6">SUM(G69:Z69)</f>
        <v>0</v>
      </c>
    </row>
    <row r="70" spans="1:28">
      <c r="A70" s="20"/>
      <c r="B70" s="25" t="s">
        <v>62</v>
      </c>
      <c r="G70" s="5">
        <v>-160</v>
      </c>
      <c r="I70">
        <v>160</v>
      </c>
      <c r="AA70" s="5">
        <f t="shared" si="6"/>
        <v>0</v>
      </c>
    </row>
    <row r="71" spans="1:28">
      <c r="A71" s="20"/>
      <c r="B71" s="25" t="s">
        <v>63</v>
      </c>
      <c r="G71" s="5">
        <v>-450</v>
      </c>
      <c r="Q71">
        <v>450</v>
      </c>
      <c r="AA71" s="5">
        <f t="shared" si="6"/>
        <v>0</v>
      </c>
    </row>
    <row r="72" spans="1:28">
      <c r="A72" s="20"/>
      <c r="B72" s="25" t="s">
        <v>71</v>
      </c>
      <c r="AA72" s="5">
        <f t="shared" si="6"/>
        <v>0</v>
      </c>
    </row>
    <row r="73" spans="1:28">
      <c r="A73" s="20"/>
      <c r="AA73" s="5"/>
    </row>
    <row r="74" spans="1:28">
      <c r="A74" s="20" t="s">
        <v>57</v>
      </c>
      <c r="AA74" s="5">
        <f t="shared" si="6"/>
        <v>0</v>
      </c>
    </row>
    <row r="75" spans="1:28">
      <c r="A75" s="20"/>
      <c r="B75" s="25" t="s">
        <v>66</v>
      </c>
      <c r="D75" s="3">
        <v>120</v>
      </c>
      <c r="I75">
        <v>120</v>
      </c>
      <c r="AA75" s="5">
        <f t="shared" si="6"/>
        <v>120</v>
      </c>
    </row>
    <row r="76" spans="1:28">
      <c r="A76" s="20"/>
      <c r="B76" s="25" t="s">
        <v>67</v>
      </c>
      <c r="D76" s="3">
        <v>-5151</v>
      </c>
      <c r="G76" s="5">
        <v>-5008</v>
      </c>
      <c r="J76" s="5">
        <v>-143</v>
      </c>
      <c r="AA76" s="5">
        <f t="shared" si="6"/>
        <v>-5151</v>
      </c>
    </row>
    <row r="77" spans="1:28">
      <c r="A77" s="20"/>
      <c r="B77" s="25" t="s">
        <v>68</v>
      </c>
      <c r="D77" s="3">
        <v>-0.49</v>
      </c>
      <c r="M77">
        <v>-0.49</v>
      </c>
      <c r="AA77" s="5">
        <f t="shared" si="6"/>
        <v>-0.49</v>
      </c>
    </row>
    <row r="78" spans="1:28">
      <c r="A78" s="20"/>
      <c r="B78" s="25"/>
      <c r="AA78" s="5">
        <f t="shared" si="6"/>
        <v>0</v>
      </c>
    </row>
    <row r="79" spans="1:28">
      <c r="A79" s="20"/>
      <c r="B79" s="25"/>
      <c r="AA79" s="5"/>
    </row>
    <row r="80" spans="1:28">
      <c r="A80" s="20" t="s">
        <v>58</v>
      </c>
      <c r="B80" s="25"/>
      <c r="AA80" s="5">
        <f t="shared" si="6"/>
        <v>0</v>
      </c>
    </row>
    <row r="81" spans="1:28">
      <c r="A81" s="20"/>
      <c r="B81" s="25" t="s">
        <v>65</v>
      </c>
      <c r="D81" s="3">
        <v>-1200</v>
      </c>
      <c r="V81">
        <v>-1200</v>
      </c>
      <c r="AA81" s="5">
        <f t="shared" si="6"/>
        <v>-1200</v>
      </c>
    </row>
    <row r="82" spans="1:28">
      <c r="A82" s="20"/>
      <c r="B82" s="25" t="s">
        <v>59</v>
      </c>
      <c r="D82" s="3">
        <v>331.89</v>
      </c>
      <c r="W82">
        <v>331.89</v>
      </c>
      <c r="AA82" s="5">
        <f t="shared" si="6"/>
        <v>331.89</v>
      </c>
    </row>
    <row r="83" spans="1:28">
      <c r="A83" s="20"/>
      <c r="B83" s="25" t="s">
        <v>60</v>
      </c>
      <c r="D83" s="3">
        <v>-194.15</v>
      </c>
      <c r="T83">
        <v>-194.15</v>
      </c>
      <c r="AA83" s="5">
        <f t="shared" si="6"/>
        <v>-194.15</v>
      </c>
    </row>
    <row r="84" spans="1:28">
      <c r="A84" s="20"/>
      <c r="B84" s="25" t="s">
        <v>61</v>
      </c>
      <c r="D84" s="3">
        <v>-341.61</v>
      </c>
      <c r="U84" s="7">
        <v>-341.61</v>
      </c>
      <c r="Z84" s="3"/>
      <c r="AA84" s="5">
        <f t="shared" si="6"/>
        <v>-341.61</v>
      </c>
    </row>
    <row r="85" spans="1:28">
      <c r="A85" s="20"/>
      <c r="B85" s="25"/>
      <c r="Z85" s="3"/>
      <c r="AA85" s="5"/>
    </row>
    <row r="86" spans="1:28">
      <c r="A86" s="20" t="s">
        <v>83</v>
      </c>
      <c r="B86" s="25"/>
      <c r="D86" s="3">
        <v>-10000</v>
      </c>
      <c r="Y86">
        <v>-10000</v>
      </c>
      <c r="AA86" s="5">
        <f t="shared" ref="AA86:AA88" si="7">SUM(G86:Z86)</f>
        <v>-10000</v>
      </c>
    </row>
    <row r="87" spans="1:28">
      <c r="A87" s="20"/>
      <c r="B87" s="25"/>
      <c r="D87" s="3">
        <v>-2306.7800000000002</v>
      </c>
      <c r="Z87" s="5">
        <v>-2306.7800000000002</v>
      </c>
      <c r="AA87" s="5">
        <f t="shared" si="7"/>
        <v>-2306.7800000000002</v>
      </c>
    </row>
    <row r="88" spans="1:28">
      <c r="A88" s="20"/>
      <c r="B88" s="25"/>
      <c r="D88" s="3">
        <v>-209.5</v>
      </c>
      <c r="S88">
        <v>-209.5</v>
      </c>
      <c r="AA88" s="5">
        <f t="shared" si="7"/>
        <v>-209.5</v>
      </c>
    </row>
    <row r="89" spans="1:28">
      <c r="A89" s="20"/>
      <c r="B89" s="25"/>
      <c r="Z89" s="3"/>
      <c r="AA89" s="5"/>
    </row>
    <row r="90" spans="1:28">
      <c r="A90" s="20"/>
      <c r="B90" s="25"/>
      <c r="Z90" s="3"/>
      <c r="AA90" s="5"/>
    </row>
    <row r="91" spans="1:28">
      <c r="A91" s="20"/>
      <c r="B91" s="25"/>
    </row>
    <row r="92" spans="1:28">
      <c r="A92" s="20"/>
      <c r="B92" s="25"/>
    </row>
    <row r="93" spans="1:28">
      <c r="B93" s="25"/>
      <c r="D93" s="3">
        <f>SUM(D66:D88)</f>
        <v>71333.01999999999</v>
      </c>
      <c r="E93" s="4" t="s">
        <v>53</v>
      </c>
      <c r="F93" s="3">
        <f>SUM(F66:F91)</f>
        <v>0</v>
      </c>
      <c r="G93" s="3">
        <f>SUM(G66:G91)</f>
        <v>51070.25</v>
      </c>
      <c r="H93" s="3">
        <f t="shared" ref="H93:AA93" si="8">SUM(H66:H91)</f>
        <v>550</v>
      </c>
      <c r="I93" s="3">
        <f t="shared" si="8"/>
        <v>400</v>
      </c>
      <c r="J93" s="3">
        <f t="shared" si="8"/>
        <v>14490</v>
      </c>
      <c r="K93" s="3">
        <f t="shared" si="8"/>
        <v>3282.02</v>
      </c>
      <c r="L93" s="3">
        <f t="shared" si="8"/>
        <v>0</v>
      </c>
      <c r="M93" s="3">
        <f t="shared" si="8"/>
        <v>1.9984014443252818E-15</v>
      </c>
      <c r="N93" s="3">
        <f t="shared" si="8"/>
        <v>237.5</v>
      </c>
      <c r="O93" s="3">
        <f t="shared" si="8"/>
        <v>625</v>
      </c>
      <c r="P93" s="3">
        <f t="shared" si="8"/>
        <v>303.25</v>
      </c>
      <c r="Q93" s="3">
        <f t="shared" si="8"/>
        <v>375</v>
      </c>
      <c r="R93" s="3">
        <f t="shared" si="8"/>
        <v>0</v>
      </c>
      <c r="S93" s="3">
        <f t="shared" si="8"/>
        <v>0</v>
      </c>
      <c r="T93" s="3">
        <f t="shared" si="8"/>
        <v>0</v>
      </c>
      <c r="U93" s="3">
        <f t="shared" si="8"/>
        <v>0</v>
      </c>
      <c r="V93" s="3">
        <f t="shared" si="8"/>
        <v>0</v>
      </c>
      <c r="W93" s="3">
        <f t="shared" si="8"/>
        <v>0</v>
      </c>
      <c r="X93" s="3">
        <f t="shared" si="8"/>
        <v>0</v>
      </c>
      <c r="Y93" s="3">
        <f t="shared" si="8"/>
        <v>0</v>
      </c>
      <c r="Z93" s="3">
        <f t="shared" si="8"/>
        <v>0</v>
      </c>
      <c r="AA93" s="3">
        <f t="shared" si="8"/>
        <v>71333.01999999999</v>
      </c>
      <c r="AB93" s="3">
        <f>SUM(AB59:AB91)</f>
        <v>2.2737367544323206E-13</v>
      </c>
    </row>
    <row r="94" spans="1:28">
      <c r="B94" s="25"/>
      <c r="E94" s="27">
        <f>SUM(F93:Z93)</f>
        <v>71333.02</v>
      </c>
    </row>
    <row r="95" spans="1:28">
      <c r="B95" s="25"/>
      <c r="D95" s="3">
        <f>D93-AA93</f>
        <v>0</v>
      </c>
      <c r="O95" s="3"/>
    </row>
    <row r="96" spans="1:28">
      <c r="B96" s="25"/>
      <c r="C96" s="4" t="s">
        <v>54</v>
      </c>
      <c r="P96" s="3"/>
    </row>
    <row r="97" spans="2:44">
      <c r="B97" s="26"/>
      <c r="C97" s="22"/>
      <c r="D97" s="19"/>
      <c r="E97" s="18"/>
      <c r="F97" s="17"/>
      <c r="G97" s="17"/>
      <c r="H97" s="16"/>
      <c r="I97" s="16"/>
      <c r="J97" s="17"/>
      <c r="K97" s="17"/>
      <c r="L97" s="17"/>
      <c r="M97" s="16"/>
      <c r="N97" s="17"/>
      <c r="O97" s="17"/>
      <c r="P97" s="17"/>
      <c r="Q97" s="16"/>
      <c r="R97" s="16"/>
      <c r="S97" s="16"/>
      <c r="T97" s="16"/>
      <c r="U97" s="23"/>
      <c r="V97" s="16"/>
      <c r="W97" s="16"/>
      <c r="X97" s="16"/>
      <c r="Y97" s="16"/>
      <c r="Z97" s="17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</row>
    <row r="98" spans="2:44">
      <c r="B98" s="22"/>
      <c r="C98" s="22"/>
      <c r="D98" s="19"/>
      <c r="E98" s="18"/>
      <c r="F98" s="17"/>
      <c r="G98" s="17"/>
      <c r="H98" s="16"/>
      <c r="I98" s="16"/>
      <c r="J98" s="17"/>
      <c r="K98" s="17"/>
      <c r="L98" s="17"/>
      <c r="M98" s="16"/>
      <c r="N98" s="17"/>
      <c r="O98" s="17"/>
      <c r="P98" s="17"/>
      <c r="Q98" s="16"/>
      <c r="R98" s="16"/>
      <c r="S98" s="16"/>
      <c r="T98" s="16"/>
      <c r="U98" s="23"/>
      <c r="V98" s="16"/>
      <c r="W98" s="16"/>
      <c r="X98" s="16"/>
      <c r="Y98" s="16"/>
      <c r="Z98" s="17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</row>
    <row r="99" spans="2:44">
      <c r="B99" s="22"/>
      <c r="C99" s="22"/>
      <c r="D99" s="19"/>
      <c r="E99" s="18"/>
      <c r="F99" s="17"/>
      <c r="G99" s="17"/>
      <c r="H99" s="16"/>
      <c r="I99" s="17"/>
      <c r="J99" s="17"/>
      <c r="K99" s="17"/>
      <c r="L99" s="17"/>
      <c r="M99" s="16"/>
      <c r="N99" s="17"/>
      <c r="O99" s="17"/>
      <c r="P99" s="17"/>
      <c r="Q99" s="16"/>
      <c r="R99" s="17"/>
      <c r="S99" s="17"/>
      <c r="T99" s="16"/>
      <c r="U99" s="23"/>
      <c r="V99" s="17"/>
      <c r="W99" s="16"/>
      <c r="X99" s="16"/>
      <c r="Y99" s="16"/>
      <c r="Z99" s="17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</row>
    <row r="100" spans="2:44">
      <c r="B100" s="22"/>
      <c r="C100" s="22"/>
      <c r="D100" s="19"/>
      <c r="E100" s="18"/>
      <c r="F100" s="17"/>
      <c r="G100" s="17"/>
      <c r="H100" s="16"/>
      <c r="I100" s="16"/>
      <c r="J100" s="17"/>
      <c r="K100" s="17"/>
      <c r="L100" s="17"/>
      <c r="M100" s="16"/>
      <c r="N100" s="17"/>
      <c r="O100" s="17"/>
      <c r="P100" s="17"/>
      <c r="Q100" s="16"/>
      <c r="R100" s="16"/>
      <c r="S100" s="16"/>
      <c r="T100" s="16"/>
      <c r="U100" s="23"/>
      <c r="V100" s="16"/>
      <c r="W100" s="16"/>
      <c r="X100" s="16"/>
      <c r="Y100" s="16"/>
      <c r="Z100" s="17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</row>
    <row r="101" spans="2:44">
      <c r="B101" s="22"/>
      <c r="C101" s="22"/>
      <c r="D101" s="19"/>
      <c r="E101" s="18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6"/>
      <c r="X101" s="16"/>
      <c r="Y101" s="16"/>
      <c r="Z101" s="17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</row>
    <row r="102" spans="2:44">
      <c r="B102" s="22"/>
      <c r="C102" s="22"/>
      <c r="D102" s="19"/>
      <c r="E102" s="18"/>
      <c r="F102" s="17"/>
      <c r="G102" s="17"/>
      <c r="H102" s="16"/>
      <c r="I102" s="16"/>
      <c r="J102" s="17"/>
      <c r="K102" s="17"/>
      <c r="L102" s="17"/>
      <c r="M102" s="16"/>
      <c r="N102" s="17"/>
      <c r="O102" s="17"/>
      <c r="P102" s="17"/>
      <c r="Q102" s="16"/>
      <c r="R102" s="16"/>
      <c r="S102" s="16"/>
      <c r="T102" s="16"/>
      <c r="U102" s="23"/>
      <c r="V102" s="16"/>
      <c r="W102" s="16"/>
      <c r="X102" s="16"/>
      <c r="Y102" s="16"/>
      <c r="Z102" s="17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</row>
    <row r="103" spans="2:44">
      <c r="B103" s="22"/>
      <c r="C103" s="22"/>
      <c r="D103" s="19"/>
      <c r="E103" s="18"/>
      <c r="F103" s="17"/>
      <c r="G103" s="17"/>
      <c r="H103" s="16"/>
      <c r="I103" s="16"/>
      <c r="J103" s="17"/>
      <c r="K103" s="17"/>
      <c r="L103" s="17"/>
      <c r="M103" s="16"/>
      <c r="N103" s="17"/>
      <c r="O103" s="17"/>
      <c r="P103" s="17"/>
      <c r="Q103" s="16"/>
      <c r="R103" s="16"/>
      <c r="S103" s="16"/>
      <c r="T103" s="16"/>
      <c r="U103" s="23"/>
      <c r="V103" s="16"/>
      <c r="W103" s="16"/>
      <c r="X103" s="16"/>
      <c r="Y103" s="16"/>
      <c r="Z103" s="17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</row>
    <row r="104" spans="2:44">
      <c r="B104" s="22"/>
      <c r="C104" s="22"/>
      <c r="D104" s="19"/>
      <c r="E104" s="18"/>
      <c r="F104" s="17"/>
      <c r="G104" s="17"/>
      <c r="H104" s="16"/>
      <c r="I104" s="16"/>
      <c r="J104" s="17"/>
      <c r="K104" s="17"/>
      <c r="L104" s="17"/>
      <c r="M104" s="16"/>
      <c r="N104" s="17"/>
      <c r="O104" s="17"/>
      <c r="P104" s="17"/>
      <c r="Q104" s="16"/>
      <c r="R104" s="16"/>
      <c r="S104" s="16"/>
      <c r="T104" s="16"/>
      <c r="U104" s="23"/>
      <c r="V104" s="16"/>
      <c r="W104" s="16"/>
      <c r="X104" s="16"/>
      <c r="Y104" s="16"/>
      <c r="Z104" s="17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</row>
    <row r="105" spans="2:44">
      <c r="B105" s="22"/>
      <c r="C105" s="22"/>
      <c r="D105" s="19"/>
      <c r="E105" s="18"/>
      <c r="F105" s="17"/>
      <c r="G105" s="17"/>
      <c r="H105" s="16"/>
      <c r="I105" s="16"/>
      <c r="J105" s="17"/>
      <c r="K105" s="17"/>
      <c r="L105" s="17"/>
      <c r="M105" s="16"/>
      <c r="N105" s="17"/>
      <c r="O105" s="17"/>
      <c r="P105" s="17"/>
      <c r="Q105" s="16"/>
      <c r="R105" s="16"/>
      <c r="S105" s="16"/>
      <c r="T105" s="16"/>
      <c r="U105" s="23"/>
      <c r="V105" s="16"/>
      <c r="W105" s="16"/>
      <c r="X105" s="16"/>
      <c r="Y105" s="16"/>
      <c r="Z105" s="17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</row>
    <row r="106" spans="2:44">
      <c r="B106" s="22"/>
      <c r="C106" s="22"/>
      <c r="D106" s="19"/>
      <c r="E106" s="18"/>
      <c r="F106" s="17"/>
      <c r="G106" s="17"/>
      <c r="H106" s="16"/>
      <c r="I106" s="16"/>
      <c r="J106" s="17"/>
      <c r="K106" s="17"/>
      <c r="L106" s="17"/>
      <c r="M106" s="16"/>
      <c r="N106" s="17"/>
      <c r="O106" s="17"/>
      <c r="P106" s="17"/>
      <c r="Q106" s="16"/>
      <c r="R106" s="16"/>
      <c r="S106" s="16"/>
      <c r="T106" s="16"/>
      <c r="U106" s="23"/>
      <c r="V106" s="16"/>
      <c r="W106" s="16"/>
      <c r="X106" s="16"/>
      <c r="Y106" s="16"/>
      <c r="Z106" s="17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</row>
    <row r="107" spans="2:44">
      <c r="B107" s="22"/>
      <c r="C107" s="22"/>
      <c r="D107" s="19"/>
      <c r="E107" s="18"/>
      <c r="F107" s="17"/>
      <c r="G107" s="17"/>
      <c r="H107" s="16"/>
      <c r="I107" s="16"/>
      <c r="J107" s="17"/>
      <c r="K107" s="17">
        <v>10066</v>
      </c>
      <c r="L107" s="17">
        <v>786</v>
      </c>
      <c r="M107" s="16">
        <v>3781</v>
      </c>
      <c r="N107" s="17"/>
      <c r="O107" s="17"/>
      <c r="P107" s="17"/>
      <c r="Q107" s="16"/>
      <c r="R107" s="16"/>
      <c r="S107" s="16"/>
      <c r="T107" s="16"/>
      <c r="U107" s="23"/>
      <c r="V107" s="16"/>
      <c r="W107" s="16"/>
      <c r="X107" s="16"/>
      <c r="Y107" s="16"/>
      <c r="Z107" s="24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</row>
    <row r="108" spans="2:44">
      <c r="B108" s="22"/>
      <c r="C108" s="22"/>
      <c r="D108" s="19"/>
      <c r="E108" s="18"/>
      <c r="F108" s="17"/>
      <c r="G108" s="17"/>
      <c r="H108" s="16"/>
      <c r="I108" s="16"/>
      <c r="J108" s="17"/>
      <c r="K108" s="17"/>
      <c r="L108" s="17"/>
      <c r="M108" s="16"/>
      <c r="N108" s="17"/>
      <c r="O108" s="17"/>
      <c r="P108" s="17"/>
      <c r="Q108" s="16"/>
      <c r="R108" s="16"/>
      <c r="S108" s="16"/>
      <c r="T108" s="16"/>
      <c r="U108" s="23"/>
      <c r="V108" s="16"/>
      <c r="W108" s="16"/>
      <c r="X108" s="16"/>
      <c r="Y108" s="16"/>
      <c r="Z108" s="17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</row>
    <row r="109" spans="2:44">
      <c r="B109" s="22"/>
      <c r="C109" s="22"/>
      <c r="D109" s="19"/>
      <c r="E109" s="18"/>
      <c r="F109" s="17"/>
      <c r="G109" s="17"/>
      <c r="H109" s="16"/>
      <c r="I109" s="16"/>
      <c r="J109" s="17"/>
      <c r="K109" s="17"/>
      <c r="L109" s="17"/>
      <c r="M109" s="16"/>
      <c r="N109" s="17"/>
      <c r="O109" s="17"/>
      <c r="P109" s="17"/>
      <c r="Q109" s="16"/>
      <c r="R109" s="16"/>
      <c r="S109" s="16"/>
      <c r="T109" s="16"/>
      <c r="U109" s="23"/>
      <c r="V109" s="16"/>
      <c r="W109" s="16"/>
      <c r="X109" s="16"/>
      <c r="Y109" s="16"/>
      <c r="Z109" s="17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</row>
    <row r="110" spans="2:44">
      <c r="B110" s="22"/>
      <c r="C110" s="22"/>
      <c r="D110" s="19"/>
      <c r="E110" s="18"/>
      <c r="F110" s="17"/>
      <c r="G110" s="17"/>
      <c r="H110" s="16"/>
      <c r="I110" s="16"/>
      <c r="J110" s="17"/>
      <c r="K110" s="21"/>
      <c r="L110" s="17"/>
      <c r="M110" s="16"/>
      <c r="N110" s="17"/>
      <c r="O110" s="17"/>
      <c r="P110" s="17"/>
      <c r="Q110" s="21"/>
      <c r="R110" s="16"/>
      <c r="S110" s="16"/>
      <c r="T110" s="16"/>
      <c r="U110" s="23"/>
      <c r="V110" s="16"/>
      <c r="W110" s="16"/>
      <c r="X110" s="16"/>
      <c r="Y110" s="16"/>
      <c r="Z110" s="17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</row>
    <row r="111" spans="2:44">
      <c r="B111" s="22"/>
      <c r="C111" s="22"/>
      <c r="D111" s="19"/>
      <c r="E111" s="18"/>
      <c r="F111" s="17"/>
      <c r="G111" s="17"/>
      <c r="H111" s="16"/>
      <c r="I111" s="16"/>
      <c r="J111" s="17"/>
      <c r="K111" s="21"/>
      <c r="L111" s="17"/>
      <c r="M111" s="16"/>
      <c r="N111" s="17"/>
      <c r="O111" s="17"/>
      <c r="P111" s="17"/>
      <c r="Q111" s="21"/>
      <c r="R111" s="16"/>
      <c r="S111" s="16"/>
      <c r="T111" s="16"/>
      <c r="U111" s="23"/>
      <c r="V111" s="16"/>
      <c r="W111" s="16"/>
      <c r="X111" s="16"/>
      <c r="Y111" s="16"/>
      <c r="Z111" s="17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</row>
    <row r="112" spans="2:44">
      <c r="B112" s="22"/>
      <c r="C112" s="22"/>
      <c r="D112" s="19"/>
      <c r="E112" s="18"/>
      <c r="F112" s="17"/>
      <c r="G112" s="17"/>
      <c r="H112" s="16"/>
      <c r="I112" s="16"/>
      <c r="J112" s="17"/>
      <c r="K112" s="17"/>
      <c r="L112" s="17"/>
      <c r="M112" s="16"/>
      <c r="N112" s="17"/>
      <c r="O112" s="17"/>
      <c r="P112" s="17"/>
      <c r="Q112" s="16"/>
      <c r="R112" s="16"/>
      <c r="S112" s="16"/>
      <c r="T112" s="16"/>
      <c r="U112" s="23"/>
      <c r="V112" s="16"/>
      <c r="W112" s="16"/>
      <c r="X112" s="16"/>
      <c r="Y112" s="16"/>
      <c r="Z112" s="17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</row>
    <row r="113" spans="2:44">
      <c r="B113" s="22"/>
      <c r="C113" s="22"/>
      <c r="D113" s="19"/>
      <c r="E113" s="18"/>
      <c r="F113" s="17"/>
      <c r="G113" s="17"/>
      <c r="H113" s="16"/>
      <c r="I113" s="16"/>
      <c r="J113" s="17"/>
      <c r="K113" s="17"/>
      <c r="L113" s="17"/>
      <c r="M113" s="16"/>
      <c r="N113" s="17"/>
      <c r="O113" s="17"/>
      <c r="P113" s="17"/>
      <c r="Q113" s="16"/>
      <c r="R113" s="16"/>
      <c r="S113" s="16"/>
      <c r="T113" s="16"/>
      <c r="U113" s="23"/>
      <c r="V113" s="16"/>
      <c r="W113" s="16"/>
      <c r="X113" s="16"/>
      <c r="Y113" s="16"/>
      <c r="Z113" s="17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</row>
    <row r="114" spans="2:44">
      <c r="B114" s="22"/>
      <c r="C114" s="22"/>
      <c r="D114" s="19"/>
      <c r="E114" s="18"/>
      <c r="F114" s="17"/>
      <c r="G114" s="17"/>
      <c r="H114" s="16"/>
      <c r="I114" s="16"/>
      <c r="J114" s="17"/>
      <c r="K114" s="17"/>
      <c r="L114" s="17"/>
      <c r="M114" s="16"/>
      <c r="N114" s="17"/>
      <c r="O114" s="17"/>
      <c r="P114" s="17"/>
      <c r="Q114" s="16"/>
      <c r="R114" s="16"/>
      <c r="S114" s="16"/>
      <c r="T114" s="16"/>
      <c r="U114" s="23"/>
      <c r="V114" s="16"/>
      <c r="W114" s="16"/>
      <c r="X114" s="16"/>
      <c r="Y114" s="16"/>
      <c r="Z114" s="17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</row>
  </sheetData>
  <mergeCells count="1">
    <mergeCell ref="M1:R1"/>
  </mergeCells>
  <printOptions headings="1" gridLines="1"/>
  <pageMargins left="0.7" right="0.7" top="0.75" bottom="0.75" header="0.3" footer="0.3"/>
  <pageSetup orientation="portrait" r:id="rId1"/>
  <headerFooter>
    <oddHeader>&amp;CPacific Southwestern Region Seminar 2021
Deposits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G5" sqref="G5"/>
    </sheetView>
  </sheetViews>
  <sheetFormatPr defaultRowHeight="15"/>
  <sheetData>
    <row r="1" spans="1:14">
      <c r="A1" t="s">
        <v>78</v>
      </c>
      <c r="D1" t="s">
        <v>79</v>
      </c>
      <c r="G1" t="s">
        <v>80</v>
      </c>
      <c r="J1" t="s">
        <v>81</v>
      </c>
      <c r="M1" t="s">
        <v>82</v>
      </c>
    </row>
    <row r="2" spans="1:14">
      <c r="A2" t="s">
        <v>76</v>
      </c>
      <c r="B2" t="s">
        <v>77</v>
      </c>
      <c r="D2" t="s">
        <v>76</v>
      </c>
      <c r="E2" t="s">
        <v>77</v>
      </c>
      <c r="G2" t="s">
        <v>76</v>
      </c>
      <c r="H2" t="s">
        <v>77</v>
      </c>
      <c r="J2" t="s">
        <v>76</v>
      </c>
      <c r="K2" t="s">
        <v>77</v>
      </c>
      <c r="M2" t="s">
        <v>76</v>
      </c>
      <c r="N2" t="s">
        <v>77</v>
      </c>
    </row>
    <row r="3" spans="1:14">
      <c r="A3">
        <v>90821.31</v>
      </c>
      <c r="B3">
        <v>84368.99</v>
      </c>
      <c r="D3">
        <v>575</v>
      </c>
      <c r="E3">
        <v>57738.25</v>
      </c>
      <c r="G3">
        <v>330.24</v>
      </c>
      <c r="H3">
        <v>1200</v>
      </c>
      <c r="K3">
        <v>209.5</v>
      </c>
      <c r="M3">
        <v>500.03</v>
      </c>
    </row>
    <row r="4" spans="1:14">
      <c r="A4">
        <v>38.35</v>
      </c>
      <c r="D4">
        <v>5151</v>
      </c>
      <c r="E4">
        <v>80</v>
      </c>
      <c r="G4">
        <v>1.65</v>
      </c>
      <c r="H4">
        <v>341.61</v>
      </c>
      <c r="K4">
        <v>2306.7800000000002</v>
      </c>
    </row>
    <row r="5" spans="1:14">
      <c r="D5">
        <v>0.49</v>
      </c>
      <c r="E5">
        <v>14633</v>
      </c>
      <c r="H5">
        <v>194.15</v>
      </c>
      <c r="K5">
        <v>5000</v>
      </c>
    </row>
    <row r="6" spans="1:14">
      <c r="D6">
        <v>1200</v>
      </c>
      <c r="E6">
        <v>3282.02</v>
      </c>
      <c r="H6">
        <v>500.03</v>
      </c>
      <c r="K6">
        <v>26723.82</v>
      </c>
    </row>
    <row r="7" spans="1:14">
      <c r="E7">
        <v>0.49</v>
      </c>
      <c r="H7">
        <v>5151</v>
      </c>
      <c r="K7">
        <v>8255.25</v>
      </c>
    </row>
    <row r="8" spans="1:14">
      <c r="E8">
        <v>237.5</v>
      </c>
      <c r="G8">
        <v>120</v>
      </c>
      <c r="H8">
        <v>0.49</v>
      </c>
      <c r="K8">
        <v>575</v>
      </c>
    </row>
    <row r="9" spans="1:14">
      <c r="E9">
        <v>625</v>
      </c>
      <c r="G9">
        <v>331.89</v>
      </c>
    </row>
    <row r="10" spans="1:14">
      <c r="E10">
        <v>303.25</v>
      </c>
      <c r="G10">
        <v>80640.47</v>
      </c>
    </row>
    <row r="11" spans="1:14">
      <c r="E11">
        <v>10000</v>
      </c>
      <c r="G11">
        <v>15734.46</v>
      </c>
    </row>
    <row r="12" spans="1:14">
      <c r="E12">
        <v>40</v>
      </c>
      <c r="G12">
        <v>15125.76</v>
      </c>
    </row>
    <row r="13" spans="1:14">
      <c r="E13">
        <v>120</v>
      </c>
      <c r="G13">
        <v>430.34</v>
      </c>
    </row>
    <row r="14" spans="1:14">
      <c r="E14">
        <v>331.89</v>
      </c>
      <c r="G14">
        <v>3131.7</v>
      </c>
    </row>
    <row r="15" spans="1:14">
      <c r="G15">
        <v>1859.94</v>
      </c>
    </row>
    <row r="16" spans="1:14">
      <c r="G16">
        <v>24.5</v>
      </c>
    </row>
    <row r="17" spans="1:14">
      <c r="G17">
        <v>1809.2</v>
      </c>
    </row>
    <row r="18" spans="1:14">
      <c r="G18">
        <v>490.34</v>
      </c>
    </row>
    <row r="19" spans="1:14">
      <c r="G19">
        <v>69.83</v>
      </c>
    </row>
    <row r="31" spans="1:14">
      <c r="A31">
        <f>SUM(A3:A30)</f>
        <v>90859.66</v>
      </c>
      <c r="B31">
        <f>SUM(B3:B30)</f>
        <v>84368.99</v>
      </c>
      <c r="D31">
        <f>SUM(D3:D30)</f>
        <v>6926.49</v>
      </c>
      <c r="E31">
        <f>SUM(E3:E30)</f>
        <v>87391.400000000009</v>
      </c>
      <c r="G31">
        <f>SUM(G3:G30)</f>
        <v>120100.31999999998</v>
      </c>
      <c r="H31">
        <f>SUM(H3:H30)</f>
        <v>7387.28</v>
      </c>
      <c r="J31">
        <f>SUM(J3:J30)</f>
        <v>0</v>
      </c>
      <c r="K31">
        <f>SUM(K3:K30)</f>
        <v>43070.35</v>
      </c>
      <c r="M31">
        <f>SUM(M3:M30)</f>
        <v>500.03</v>
      </c>
      <c r="N31">
        <f>SUM(N3:N30)</f>
        <v>0</v>
      </c>
    </row>
    <row r="33" spans="1:13">
      <c r="A33">
        <f>A31-B31</f>
        <v>6490.6699999999983</v>
      </c>
      <c r="E33">
        <f>E31-D31</f>
        <v>80464.91</v>
      </c>
      <c r="G33">
        <f>G31-H31</f>
        <v>112713.03999999998</v>
      </c>
      <c r="K33">
        <f>K31-J31</f>
        <v>43070.35</v>
      </c>
      <c r="M33">
        <f>M31-N31</f>
        <v>500.03</v>
      </c>
    </row>
  </sheetData>
  <pageMargins left="0.28999999999999998" right="0.11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final income orig</vt:lpstr>
      <vt:lpstr>final income 12 31 21</vt:lpstr>
      <vt:lpstr>final income 2 28 22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M. Pomes</dc:creator>
  <cp:lastModifiedBy>Louise M. Pomes</cp:lastModifiedBy>
  <cp:lastPrinted>2022-02-07T05:16:55Z</cp:lastPrinted>
  <dcterms:created xsi:type="dcterms:W3CDTF">2022-02-02T18:27:54Z</dcterms:created>
  <dcterms:modified xsi:type="dcterms:W3CDTF">2022-02-07T16:40:21Z</dcterms:modified>
</cp:coreProperties>
</file>